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00412022281\Desktop\Izadora ASCOMP\PLANILHAS\"/>
    </mc:Choice>
  </mc:AlternateContent>
  <xr:revisionPtr revIDLastSave="0" documentId="8_{35A7D5F3-2FBF-406B-98F7-B3FBBE500E4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Plan2" sheetId="1" state="hidden" r:id="rId1"/>
    <sheet name="Plan3" sheetId="2" state="hidden" r:id="rId2"/>
    <sheet name="resumo" sheetId="3" r:id="rId3"/>
    <sheet name="Vigilante diurno (ARM.)" sheetId="4" r:id="rId4"/>
    <sheet name="Vigilante noturno (ARM.) (2)" sheetId="5" r:id="rId5"/>
    <sheet name="Horista Diurno " sheetId="6" state="hidden" r:id="rId6"/>
    <sheet name="Horista Noturno " sheetId="7" state="hidden" r:id="rId7"/>
    <sheet name="Material e uniforme" sheetId="8" r:id="rId8"/>
  </sheets>
  <definedNames>
    <definedName name="_xlnm.Print_Area" localSheetId="5">'Horista Diurno '!$A$1:$E$92</definedName>
    <definedName name="_xlnm.Print_Area" localSheetId="6">'Horista Noturno '!$A$1:$E$92</definedName>
    <definedName name="_xlnm.Print_Area" localSheetId="7">'Material e uniforme'!$A$1:$I$37</definedName>
    <definedName name="_xlnm.Print_Area" localSheetId="2">resumo!$A$1:$J$8</definedName>
    <definedName name="_xlnm.Print_Area" localSheetId="3">'Vigilante diurno (ARM.)'!$A$1:$E$107</definedName>
    <definedName name="_xlnm.Print_Area" localSheetId="4">'Vigilante noturno (ARM.) (2)'!$A$1:$E$108</definedName>
  </definedNames>
  <calcPr calcId="191029" fullPrecision="0"/>
</workbook>
</file>

<file path=xl/calcChain.xml><?xml version="1.0" encoding="utf-8"?>
<calcChain xmlns="http://schemas.openxmlformats.org/spreadsheetml/2006/main">
  <c r="E103" i="5" l="1"/>
  <c r="E83" i="5"/>
  <c r="E84" i="5" s="1"/>
  <c r="E87" i="5" s="1"/>
  <c r="E68" i="4"/>
  <c r="E69" i="5"/>
  <c r="E41" i="4"/>
  <c r="E40" i="5"/>
  <c r="E40" i="4"/>
  <c r="E46" i="4"/>
  <c r="E99" i="4"/>
  <c r="E102" i="5"/>
  <c r="E47" i="4"/>
  <c r="E43" i="5"/>
  <c r="E39" i="4"/>
  <c r="E39" i="5"/>
  <c r="D37" i="4"/>
  <c r="D55" i="4" s="1"/>
  <c r="E43" i="4"/>
  <c r="E41" i="5"/>
  <c r="F36" i="8"/>
  <c r="I36" i="8" s="1"/>
  <c r="I22" i="8"/>
  <c r="D89" i="5" l="1"/>
  <c r="D88" i="4"/>
  <c r="E69" i="4"/>
  <c r="D56" i="4"/>
  <c r="D53" i="4"/>
  <c r="D63" i="4"/>
  <c r="D65" i="4" s="1"/>
  <c r="F35" i="8" l="1"/>
  <c r="I35" i="8" s="1"/>
  <c r="F34" i="8"/>
  <c r="I34" i="8" s="1"/>
  <c r="F33" i="8"/>
  <c r="I33" i="8" s="1"/>
  <c r="F32" i="8"/>
  <c r="I32" i="8" s="1"/>
  <c r="F31" i="8"/>
  <c r="I31" i="8" s="1"/>
  <c r="F30" i="8"/>
  <c r="I30" i="8" s="1"/>
  <c r="F29" i="8"/>
  <c r="I29" i="8" s="1"/>
  <c r="F28" i="8"/>
  <c r="I28" i="8" s="1"/>
  <c r="F23" i="8"/>
  <c r="I23" i="8" s="1"/>
  <c r="F21" i="8"/>
  <c r="I21" i="8" s="1"/>
  <c r="F20" i="8"/>
  <c r="I20" i="8" s="1"/>
  <c r="F19" i="8"/>
  <c r="I19" i="8" s="1"/>
  <c r="F12" i="8"/>
  <c r="H12" i="8" s="1"/>
  <c r="F11" i="8"/>
  <c r="H11" i="8" s="1"/>
  <c r="F10" i="8"/>
  <c r="H10" i="8" s="1"/>
  <c r="F9" i="8"/>
  <c r="H9" i="8" s="1"/>
  <c r="F8" i="8"/>
  <c r="H8" i="8" s="1"/>
  <c r="F7" i="8"/>
  <c r="H7" i="8" s="1"/>
  <c r="F6" i="8"/>
  <c r="H6" i="8" s="1"/>
  <c r="F5" i="8"/>
  <c r="H5" i="8" s="1"/>
  <c r="F4" i="8"/>
  <c r="H4" i="8" s="1"/>
  <c r="F3" i="8"/>
  <c r="H3" i="8" s="1"/>
  <c r="E79" i="7"/>
  <c r="E74" i="7"/>
  <c r="E70" i="7"/>
  <c r="E69" i="7"/>
  <c r="D65" i="7"/>
  <c r="D64" i="7"/>
  <c r="D63" i="7"/>
  <c r="D66" i="7" s="1"/>
  <c r="D73" i="7" s="1"/>
  <c r="D75" i="7" s="1"/>
  <c r="D62" i="7"/>
  <c r="D60" i="7"/>
  <c r="D56" i="7"/>
  <c r="D55" i="7"/>
  <c r="D53" i="7"/>
  <c r="E43" i="7"/>
  <c r="E42" i="7"/>
  <c r="E41" i="7"/>
  <c r="E40" i="7"/>
  <c r="D37" i="7"/>
  <c r="D24" i="7"/>
  <c r="D26" i="7" s="1"/>
  <c r="E18" i="7"/>
  <c r="E17" i="7"/>
  <c r="E16" i="7"/>
  <c r="E39" i="7" s="1"/>
  <c r="E44" i="7" s="1"/>
  <c r="E48" i="7" s="1"/>
  <c r="F8" i="7"/>
  <c r="G8" i="7" s="1"/>
  <c r="G9" i="7" s="1"/>
  <c r="G11" i="7" s="1"/>
  <c r="G7" i="7"/>
  <c r="E79" i="6"/>
  <c r="E69" i="6"/>
  <c r="E70" i="6" s="1"/>
  <c r="E74" i="6" s="1"/>
  <c r="D65" i="6"/>
  <c r="D64" i="6"/>
  <c r="D63" i="6"/>
  <c r="D62" i="6"/>
  <c r="D60" i="6"/>
  <c r="D66" i="6" s="1"/>
  <c r="D73" i="6" s="1"/>
  <c r="D75" i="6" s="1"/>
  <c r="D56" i="6"/>
  <c r="D55" i="6"/>
  <c r="D53" i="6"/>
  <c r="D57" i="6" s="1"/>
  <c r="E43" i="6"/>
  <c r="E42" i="6"/>
  <c r="E40" i="6"/>
  <c r="E39" i="6"/>
  <c r="D37" i="6"/>
  <c r="D24" i="6"/>
  <c r="D26" i="6" s="1"/>
  <c r="E18" i="6"/>
  <c r="E19" i="6" s="1"/>
  <c r="E17" i="6"/>
  <c r="E16" i="6"/>
  <c r="E41" i="6" s="1"/>
  <c r="E44" i="6" s="1"/>
  <c r="E48" i="6" s="1"/>
  <c r="D97" i="5"/>
  <c r="E70" i="5"/>
  <c r="E74" i="5" s="1"/>
  <c r="D63" i="5"/>
  <c r="D60" i="5"/>
  <c r="D56" i="5"/>
  <c r="D53" i="5"/>
  <c r="E42" i="5"/>
  <c r="D37" i="5"/>
  <c r="D55" i="5" s="1"/>
  <c r="D24" i="5"/>
  <c r="D26" i="5" s="1"/>
  <c r="E17" i="5"/>
  <c r="E16" i="5"/>
  <c r="D96" i="4"/>
  <c r="E73" i="4"/>
  <c r="D72" i="4"/>
  <c r="D74" i="4" s="1"/>
  <c r="E42" i="4"/>
  <c r="E44" i="4" s="1"/>
  <c r="E48" i="4" s="1"/>
  <c r="D24" i="4"/>
  <c r="D26" i="4" s="1"/>
  <c r="E18" i="4"/>
  <c r="E17" i="4"/>
  <c r="E16" i="4"/>
  <c r="D13" i="1"/>
  <c r="D12" i="1"/>
  <c r="D11" i="1"/>
  <c r="D10" i="1"/>
  <c r="D9" i="1"/>
  <c r="D8" i="1"/>
  <c r="D66" i="5" l="1"/>
  <c r="D73" i="5"/>
  <c r="D75" i="5" s="1"/>
  <c r="E19" i="4"/>
  <c r="E20" i="4" s="1"/>
  <c r="E21" i="4" s="1"/>
  <c r="E18" i="5"/>
  <c r="E19" i="5" s="1"/>
  <c r="H24" i="8"/>
  <c r="E78" i="4" s="1"/>
  <c r="D57" i="5"/>
  <c r="E44" i="5"/>
  <c r="E48" i="5" s="1"/>
  <c r="H13" i="8"/>
  <c r="E77" i="4" s="1"/>
  <c r="E20" i="6"/>
  <c r="E21" i="6" s="1"/>
  <c r="D57" i="4"/>
  <c r="H37" i="8"/>
  <c r="E79" i="4" s="1"/>
  <c r="E19" i="7"/>
  <c r="D57" i="7"/>
  <c r="D20" i="4" l="1"/>
  <c r="D20" i="5"/>
  <c r="E20" i="5"/>
  <c r="E21" i="5" s="1"/>
  <c r="E55" i="4"/>
  <c r="E81" i="4"/>
  <c r="E53" i="4"/>
  <c r="E54" i="4"/>
  <c r="E25" i="4"/>
  <c r="E52" i="4"/>
  <c r="E24" i="4"/>
  <c r="E56" i="4"/>
  <c r="E35" i="6"/>
  <c r="E56" i="6"/>
  <c r="E85" i="6"/>
  <c r="E25" i="6"/>
  <c r="E29" i="6"/>
  <c r="E54" i="6"/>
  <c r="E52" i="6"/>
  <c r="E24" i="6"/>
  <c r="E26" i="6" s="1"/>
  <c r="E46" i="6" s="1"/>
  <c r="E53" i="6"/>
  <c r="E55" i="6"/>
  <c r="E79" i="5"/>
  <c r="E78" i="7"/>
  <c r="E82" i="7" s="1"/>
  <c r="E89" i="7" s="1"/>
  <c r="E78" i="6"/>
  <c r="E82" i="6" s="1"/>
  <c r="E89" i="6" s="1"/>
  <c r="E78" i="5"/>
  <c r="E80" i="5"/>
  <c r="E20" i="7"/>
  <c r="E21" i="7" s="1"/>
  <c r="E53" i="5" l="1"/>
  <c r="E55" i="5"/>
  <c r="E54" i="5"/>
  <c r="E52" i="5"/>
  <c r="E25" i="5"/>
  <c r="E24" i="5"/>
  <c r="E57" i="4"/>
  <c r="E101" i="4" s="1"/>
  <c r="E56" i="5"/>
  <c r="E100" i="5"/>
  <c r="E26" i="4"/>
  <c r="E54" i="7"/>
  <c r="E25" i="7"/>
  <c r="E85" i="7"/>
  <c r="E52" i="7"/>
  <c r="E57" i="7" s="1"/>
  <c r="E87" i="7" s="1"/>
  <c r="E24" i="7"/>
  <c r="E26" i="7" s="1"/>
  <c r="E46" i="7" s="1"/>
  <c r="E56" i="7"/>
  <c r="E55" i="7"/>
  <c r="E53" i="7"/>
  <c r="E30" i="6"/>
  <c r="E31" i="6"/>
  <c r="E33" i="6"/>
  <c r="E34" i="6"/>
  <c r="E82" i="5"/>
  <c r="E104" i="5" s="1"/>
  <c r="E57" i="6"/>
  <c r="E87" i="6" s="1"/>
  <c r="E103" i="4"/>
  <c r="E36" i="6"/>
  <c r="E32" i="6"/>
  <c r="E37" i="6" s="1"/>
  <c r="E47" i="6" s="1"/>
  <c r="E49" i="6" s="1"/>
  <c r="E26" i="5" l="1"/>
  <c r="E29" i="5" s="1"/>
  <c r="E57" i="5"/>
  <c r="E32" i="4"/>
  <c r="E31" i="4"/>
  <c r="E35" i="4"/>
  <c r="E33" i="4"/>
  <c r="E36" i="4"/>
  <c r="E30" i="4"/>
  <c r="E29" i="4"/>
  <c r="E34" i="4"/>
  <c r="E86" i="6"/>
  <c r="E62" i="6"/>
  <c r="E61" i="6"/>
  <c r="E65" i="6"/>
  <c r="E64" i="6"/>
  <c r="E60" i="6"/>
  <c r="E63" i="6"/>
  <c r="E32" i="7"/>
  <c r="E29" i="7"/>
  <c r="E33" i="7"/>
  <c r="E34" i="7"/>
  <c r="E30" i="7"/>
  <c r="E36" i="7"/>
  <c r="E31" i="7"/>
  <c r="E35" i="7"/>
  <c r="E34" i="5" l="1"/>
  <c r="E37" i="5" s="1"/>
  <c r="E47" i="5" s="1"/>
  <c r="E49" i="5" s="1"/>
  <c r="E31" i="5"/>
  <c r="E33" i="5"/>
  <c r="E35" i="5"/>
  <c r="E46" i="5"/>
  <c r="E30" i="5"/>
  <c r="E36" i="5"/>
  <c r="E32" i="5"/>
  <c r="E37" i="4"/>
  <c r="E49" i="4" s="1"/>
  <c r="E100" i="4" s="1"/>
  <c r="E66" i="6"/>
  <c r="E73" i="6" s="1"/>
  <c r="E75" i="6" s="1"/>
  <c r="E88" i="6" s="1"/>
  <c r="E90" i="6" s="1"/>
  <c r="E91" i="6" s="1"/>
  <c r="E37" i="7"/>
  <c r="E47" i="7" s="1"/>
  <c r="E49" i="7" s="1"/>
  <c r="E60" i="5" l="1"/>
  <c r="E64" i="5"/>
  <c r="E60" i="4"/>
  <c r="E61" i="4"/>
  <c r="E64" i="4"/>
  <c r="E63" i="4"/>
  <c r="E62" i="4"/>
  <c r="E101" i="5"/>
  <c r="E61" i="5"/>
  <c r="E63" i="5"/>
  <c r="E62" i="5"/>
  <c r="E86" i="7"/>
  <c r="E64" i="7"/>
  <c r="E60" i="7"/>
  <c r="E63" i="7"/>
  <c r="E65" i="7"/>
  <c r="E62" i="7"/>
  <c r="E61" i="7"/>
  <c r="E66" i="5" l="1"/>
  <c r="E73" i="5" s="1"/>
  <c r="E75" i="5" s="1"/>
  <c r="E65" i="4"/>
  <c r="E72" i="4" s="1"/>
  <c r="E66" i="7"/>
  <c r="E73" i="7" s="1"/>
  <c r="E75" i="7" s="1"/>
  <c r="E88" i="7" s="1"/>
  <c r="E90" i="7" s="1"/>
  <c r="E91" i="7" s="1"/>
  <c r="E74" i="4" l="1"/>
  <c r="E105" i="5"/>
  <c r="E82" i="4" l="1"/>
  <c r="E83" i="4" s="1"/>
  <c r="E102" i="4"/>
  <c r="E104" i="4" s="1"/>
  <c r="E86" i="4" l="1"/>
  <c r="E87" i="4" s="1"/>
  <c r="E88" i="4" s="1"/>
  <c r="E89" i="4" s="1"/>
  <c r="E95" i="4" s="1"/>
  <c r="E88" i="5"/>
  <c r="E89" i="5" s="1"/>
  <c r="E90" i="5" s="1"/>
  <c r="E91" i="4" l="1"/>
  <c r="E92" i="4"/>
  <c r="E96" i="5"/>
  <c r="E93" i="5"/>
  <c r="E92" i="5"/>
  <c r="E96" i="4" l="1"/>
  <c r="E97" i="4" s="1"/>
  <c r="E105" i="4" s="1"/>
  <c r="E106" i="4" s="1"/>
  <c r="E107" i="4" s="1"/>
  <c r="E97" i="5"/>
  <c r="E98" i="5" s="1"/>
  <c r="E106" i="5" l="1"/>
  <c r="E107" i="5" s="1"/>
  <c r="E108" i="5" s="1"/>
  <c r="H5" i="3" s="1"/>
  <c r="I5" i="3" s="1"/>
  <c r="J5" i="3" s="1"/>
  <c r="H4" i="3"/>
  <c r="I4" i="3" s="1"/>
  <c r="J4" i="3" s="1"/>
  <c r="J6" i="3" l="1"/>
  <c r="J8" i="3" s="1"/>
  <c r="I6" i="3"/>
  <c r="I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tc={003E004F-0071-43F0-B653-008C00EB003C}</author>
  </authors>
  <commentList>
    <comment ref="B17" authorId="0" shapeId="0" xr:uid="{003E004F-0071-43F0-B653-008C00EB003C}">
      <text>
        <r>
          <rPr>
            <b/>
            <sz val="9"/>
            <rFont val="Tahoma"/>
          </rPr>
          <t>João Vitor Rodrigues de Souza:</t>
        </r>
        <r>
          <rPr>
            <sz val="9"/>
            <rFont val="Tahoma"/>
          </rPr>
          <t xml:space="preserve">
Calculado sobre o salário minimo.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tc={006E0074-00D4-4763-820A-0085005B00C7}</author>
    <author>tc={001B00E0-006A-4901-80F4-00CA009300E1}</author>
  </authors>
  <commentList>
    <comment ref="B17" authorId="0" shapeId="0" xr:uid="{006E0074-00D4-4763-820A-0085005B00C7}">
      <text>
        <r>
          <rPr>
            <b/>
            <sz val="9"/>
            <rFont val="Tahoma"/>
          </rPr>
          <t>João Vitor Rodrigues de Souza:</t>
        </r>
        <r>
          <rPr>
            <sz val="9"/>
            <rFont val="Tahoma"/>
          </rPr>
          <t xml:space="preserve">
Calculado sobre o salário minimo. 
</t>
        </r>
      </text>
    </comment>
    <comment ref="D18" authorId="1" shapeId="0" xr:uid="{001B00E0-006A-4901-80F4-00CA009300E1}">
      <text>
        <r>
          <rPr>
            <b/>
            <sz val="9"/>
            <rFont val="Tahoma"/>
          </rPr>
          <t>João Vitor Rodrigues de Souza:</t>
        </r>
        <r>
          <rPr>
            <sz val="9"/>
            <rFont val="Tahoma"/>
          </rPr>
          <t xml:space="preserve">
MEDIA ARITIMETICA:
365 DIAS / 12 MESES =30,42 DIAS DE TRABALHO MENSAL
30,42 DIAS / 2 VIGILANTES POR MÊS = 15,21 DIAS
</t>
        </r>
      </text>
    </comment>
  </commentList>
</comments>
</file>

<file path=xl/sharedStrings.xml><?xml version="1.0" encoding="utf-8"?>
<sst xmlns="http://schemas.openxmlformats.org/spreadsheetml/2006/main" count="882" uniqueCount="285">
  <si>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</si>
  <si>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</si>
  <si>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</si>
  <si>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</si>
  <si>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indexed="2"/>
        <rFont val="Verdana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indexed="64"/>
        <rFont val="Verdana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</si>
  <si>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</si>
  <si>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</si>
  <si>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</si>
  <si>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</si>
  <si>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</si>
  <si>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</si>
  <si>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</si>
  <si>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</si>
  <si>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</si>
  <si>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</si>
  <si>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</si>
  <si>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</si>
  <si>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</si>
  <si>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</si>
  <si>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</si>
  <si>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PRORROGAÇÃO EXECEPCIONAL (§ 4º DO ART. 57 DA LLC)</t>
  </si>
  <si>
    <t>Até 7 anos</t>
  </si>
  <si>
    <t>]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</si>
  <si>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</si>
  <si>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</si>
  <si>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</si>
  <si>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</si>
  <si>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</si>
  <si>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</si>
  <si>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</si>
  <si>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</si>
  <si>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</si>
  <si>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</si>
  <si>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</si>
  <si>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</si>
  <si>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</si>
  <si>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</si>
  <si>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</si>
  <si>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indexed="64"/>
        <rFont val="Calibri"/>
        <scheme val="minor"/>
      </rPr>
      <t> Entretanto, a lei não especifica que deva aplicar esta proporcionalidade de acordo com o tempo de empresa, porquanto </t>
    </r>
    <r>
      <rPr>
        <b/>
        <u/>
        <sz val="14"/>
        <color indexed="64"/>
        <rFont val="Calibri"/>
        <scheme val="minor"/>
      </rPr>
      <t>entendemos que a falta ao final do aviso ainda seja de 7 (sete) dias</t>
    </r>
    <r>
      <rPr>
        <sz val="14"/>
        <color indexed="64"/>
        <rFont val="Calibri"/>
        <scheme val="minor"/>
      </rPr>
      <t>. Já em relação a redução de jornada, </t>
    </r>
    <r>
      <rPr>
        <b/>
        <u/>
        <sz val="14"/>
        <color indexed="64"/>
        <rFont val="Calibri"/>
        <scheme val="minor"/>
      </rPr>
      <t>entendemos que deva ser de 2 horas independentemente do número de dias</t>
    </r>
    <r>
      <rPr>
        <sz val="14"/>
        <color indexed="64"/>
        <rFont val="Calibri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</si>
  <si>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</si>
  <si>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</si>
  <si>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</si>
  <si>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</si>
  <si>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</si>
  <si>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</si>
  <si>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</si>
  <si>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</si>
  <si>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</si>
  <si>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</si>
  <si>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</si>
  <si>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</si>
  <si>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</si>
  <si>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</si>
  <si>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</si>
  <si>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</si>
  <si>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</si>
  <si>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</si>
  <si>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</si>
  <si>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</si>
  <si>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</si>
  <si>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</si>
  <si>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</si>
  <si>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</si>
  <si>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</si>
  <si>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</si>
  <si>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</si>
  <si>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</si>
  <si>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</si>
  <si>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</si>
  <si>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</si>
  <si>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</si>
  <si>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</si>
  <si>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</si>
  <si>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</si>
  <si>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</si>
  <si>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</si>
  <si>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</si>
  <si>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>PORTO VELHO</t>
  </si>
  <si>
    <t>ITEM</t>
  </si>
  <si>
    <t>CATSER</t>
  </si>
  <si>
    <t>ESPECIFICAÇÃO</t>
  </si>
  <si>
    <t>SUBITEM</t>
  </si>
  <si>
    <t>Especificação do Subitem/Turno/Jornada</t>
  </si>
  <si>
    <t>UND DE MEDIDA</t>
  </si>
  <si>
    <t>QTD. DE POSTOS</t>
  </si>
  <si>
    <t>VALOR UNT (MENSAL) POSTO</t>
  </si>
  <si>
    <t>VALOR TOTAL (MENSAL) DOS POSTOS</t>
  </si>
  <si>
    <t>VALOR TOTAL (ANUAL) DOS POSTOS</t>
  </si>
  <si>
    <r>
      <rPr>
        <b/>
        <sz val="11"/>
        <color theme="1"/>
        <rFont val="Calibri"/>
        <scheme val="minor"/>
      </rPr>
      <t>Serviço de vigilância e segurança patrimonial armada, preventiva e ostensiva, diurna e noturna, de forma contínua, 24hs por dia, 07 dias por semana, em turnos de 12 (doze) x 36 (trinta e seis) horas</t>
    </r>
    <r>
      <rPr>
        <sz val="11"/>
        <color theme="1"/>
        <rFont val="Calibri"/>
        <scheme val="minor"/>
      </rPr>
      <t>, de segunda à domingo, inclusive nos feriados, mediante o fornecimento de mão-de-obra, com pessoal treinado e qualificado, devidamente uniformizado e identificado, incluindo equipamentos/ferramentas/materiais sob sua inteira responsabilidade, de acordo com as condições, especializações e quantitativos mínimos contidos neste Termo, para proteção e guarda dos bens móveis e imóveis, fiscalização, controle de acesso de pessoas, veículos e bens materiais e realização de rondas nas áreas internas, externas e adjacentes.</t>
    </r>
  </si>
  <si>
    <t>1.1.</t>
  </si>
  <si>
    <r>
      <t xml:space="preserve">Serviços de Vigilância/ Segurança Patrimonial Armada - </t>
    </r>
    <r>
      <rPr>
        <b/>
        <sz val="11"/>
        <color theme="1"/>
        <rFont val="Calibri"/>
        <scheme val="minor"/>
      </rPr>
      <t xml:space="preserve">Turno DIURNO - jornada 12x36 </t>
    </r>
  </si>
  <si>
    <t>POSTO (DIURNO)</t>
  </si>
  <si>
    <t>1.2.</t>
  </si>
  <si>
    <r>
      <t>Serviços de Vigilância/ Segurança Patrimonial Armada -</t>
    </r>
    <r>
      <rPr>
        <b/>
        <sz val="11"/>
        <color theme="1"/>
        <rFont val="Calibri"/>
        <scheme val="minor"/>
      </rPr>
      <t xml:space="preserve"> Turno NOTURNO - jornada 12x36 </t>
    </r>
  </si>
  <si>
    <r>
      <rPr>
        <b/>
        <sz val="11"/>
        <color theme="1"/>
        <rFont val="Calibri"/>
        <scheme val="minor"/>
      </rPr>
      <t>POSTO</t>
    </r>
    <r>
      <rPr>
        <sz val="11"/>
        <color theme="1"/>
        <rFont val="Calibri"/>
        <scheme val="minor"/>
      </rPr>
      <t xml:space="preserve"> (</t>
    </r>
    <r>
      <rPr>
        <b/>
        <sz val="11"/>
        <color theme="1"/>
        <rFont val="Calibri"/>
        <scheme val="minor"/>
      </rPr>
      <t>NOTURNO)</t>
    </r>
  </si>
  <si>
    <t xml:space="preserve"> VALOR TOTAL ESTIMADO:</t>
  </si>
  <si>
    <t>ESTIMATIVA TOTAL</t>
  </si>
  <si>
    <t>PLANILHA DE CUSTOS E FORMAÇÃO DE PREÇOS</t>
  </si>
  <si>
    <t>SERVIÇO DE VIGILÂNCIA</t>
  </si>
  <si>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</si>
  <si>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</si>
  <si>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</si>
  <si>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</si>
  <si>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</si>
  <si>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</si>
  <si>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r>
      <t>N</t>
    </r>
    <r>
      <rPr>
        <strike/>
        <sz val="10"/>
        <rFont val="Calibri"/>
        <scheme val="minor"/>
      </rPr>
      <t>º</t>
    </r>
    <r>
      <rPr>
        <sz val="10"/>
        <rFont val="Calibri"/>
        <scheme val="minor"/>
      </rPr>
      <t xml:space="preserve"> de meses de execução contratual</t>
    </r>
  </si>
  <si>
    <t>Identificação do Serviço</t>
  </si>
  <si>
    <t>Anexo III-A – Mão-de-obra</t>
  </si>
  <si>
    <t xml:space="preserve"> Valor Total:</t>
  </si>
  <si>
    <t>Tipo de serviço (mesmo serviço com características distintas)</t>
  </si>
  <si>
    <t>Salário Normativo da Categoria Profissional</t>
  </si>
  <si>
    <t>Categoria profissional (vinculada à execução contratual)</t>
  </si>
  <si>
    <t>VIGILANTE - DIURNO (ARMADO)</t>
  </si>
  <si>
    <t>Data base da categoria (dia/mês/ano)</t>
  </si>
  <si>
    <t>MÓDULO 1 : COMPOSIÇÃO DA REMUNERAÇÃO</t>
  </si>
  <si>
    <t>Composição da Remuneração</t>
  </si>
  <si>
    <t>Valor (R$)</t>
  </si>
  <si>
    <t>Salário</t>
  </si>
  <si>
    <t>Adicional de Insalubridade</t>
  </si>
  <si>
    <t>Adicional Noturno</t>
  </si>
  <si>
    <t xml:space="preserve"> </t>
  </si>
  <si>
    <t>SUBTOTAL</t>
  </si>
  <si>
    <t>Adicional de Periculosidade</t>
  </si>
  <si>
    <t>TOTAL DA REMUNERAÇÃO</t>
  </si>
  <si>
    <t xml:space="preserve"> MÓDULO 2: BENEFÍCIOS MENSAIS E DIÁRIOS</t>
  </si>
  <si>
    <t>2.1</t>
  </si>
  <si>
    <t>DÉCIMO TERCEIRO SALÁRIO, FÉRIAS E ADICIONAL DE FÉRIAS</t>
  </si>
  <si>
    <t>13 º Salário</t>
  </si>
  <si>
    <t>Férias (8,33%) e Adicional de Férias (TR x 2,78%)</t>
  </si>
  <si>
    <t>TOTAL</t>
  </si>
  <si>
    <t xml:space="preserve">Base de cálculo: De acordo com a instrução normativa nº 05/2017 anexo VII nota 3, a base de cálculo neste módulo deverá ser a soma: MÓDULO 1 + SUBMÓDULO 2.1. </t>
  </si>
  <si>
    <t>2.2</t>
  </si>
  <si>
    <t>Encargos previdenciários e FGTS</t>
  </si>
  <si>
    <t>Inss</t>
  </si>
  <si>
    <t>Sesi ou Sesc</t>
  </si>
  <si>
    <t xml:space="preserve">Senai ou Senac </t>
  </si>
  <si>
    <t xml:space="preserve">Incra </t>
  </si>
  <si>
    <t>E</t>
  </si>
  <si>
    <t xml:space="preserve">Salário Educação </t>
  </si>
  <si>
    <t>F</t>
  </si>
  <si>
    <t xml:space="preserve">Fgts </t>
  </si>
  <si>
    <t>G</t>
  </si>
  <si>
    <t>RAT X SAT (Conforme GFIP)</t>
  </si>
  <si>
    <t>H</t>
  </si>
  <si>
    <t xml:space="preserve">Sebrae </t>
  </si>
  <si>
    <t>2.3</t>
  </si>
  <si>
    <t xml:space="preserve">BENEFÍCIOS MENSAIS E DIÁRIOS </t>
  </si>
  <si>
    <t xml:space="preserve">Transporte </t>
  </si>
  <si>
    <t xml:space="preserve">Auxílio alimentação </t>
  </si>
  <si>
    <t>Cesta básica</t>
  </si>
  <si>
    <t>Assistência médica e familiar</t>
  </si>
  <si>
    <t>Seguro de vida, Invalidez e Auxilio Funeral</t>
  </si>
  <si>
    <t>TOTAL DE BENEFÍCIOS MENSAIS E DIÁRIOS</t>
  </si>
  <si>
    <t xml:space="preserve"> Quadro-resumo do módulo 2-ENCARGOS E BENEFÍCIOS ANUAIS, MENSAIS E DIÁRIOS</t>
  </si>
  <si>
    <t>13º SALÁRIO, FÉRIAS E ADICIONAL DE FÉRIAS</t>
  </si>
  <si>
    <t>GPS, FGTS E OUTRAS CONTRIBUIÇÕES</t>
  </si>
  <si>
    <t>BENEFÍCIOS DIÁRIOS E MENSAIS</t>
  </si>
  <si>
    <t xml:space="preserve"> MÓDULO 3: PROVISÃO PARA RESCISÃO</t>
  </si>
  <si>
    <t>3.0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</si>
  <si>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</si>
  <si>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</si>
  <si>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</si>
  <si>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</si>
  <si>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</si>
  <si>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>Multa sobre FGTS e Contribuição Social sobre o Aviso Prévio Indenizado e sobre o Aviso Prévio Trabalhado. (Alterado Conf. Lei nº 13.932/2019)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</si>
  <si>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</si>
  <si>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</si>
  <si>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</si>
  <si>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</si>
  <si>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</si>
  <si>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5,96 dias/ano IBGE. (5,96 dias/30 dias) x (1/12 meses) = 0,0166 = 1,66%</t>
  </si>
  <si>
    <t>Substituto na Cobertura de Licença Paternidade</t>
  </si>
  <si>
    <t xml:space="preserve">  Vigilância: (5 dias/30dias) x (1/12 meses) x 6,24% taxa de fecundidade x 95,04% participação masculina = 0,08%</t>
  </si>
  <si>
    <t>Substituto na Cobertura Por Acidente de Trabalho</t>
  </si>
  <si>
    <t>1 falta/ano. (1 dia/30 dias) x (1/12 meses) = 0,0028 = 0,28%</t>
  </si>
  <si>
    <t>Substituto na Cobertura de Licença Maternidade</t>
  </si>
  <si>
    <t>(0,91 dias / 30 dias)x(1/12 meses) = 0,0025 = 0,25%</t>
  </si>
  <si>
    <t>reciclagem (7 dias /30dias) x ( 1 / 24 meses )</t>
  </si>
  <si>
    <t>TOTAL DO SUBMÓDULO 4.1</t>
  </si>
  <si>
    <t>Submódulo 4.2 - Intrajornada</t>
  </si>
  <si>
    <t xml:space="preserve">Intervalo para Repouso ou Alimentação 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</si>
  <si>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</si>
  <si>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</si>
  <si>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</si>
  <si>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</si>
  <si>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 xml:space="preserve"> MÓDULO 5 – INSUMOS DIVERSOS</t>
  </si>
  <si>
    <t>INSUMOS DIVERSOS</t>
  </si>
  <si>
    <t>Uniformes e EPIs</t>
  </si>
  <si>
    <t>Materiais</t>
  </si>
  <si>
    <t>Equipamentos</t>
  </si>
  <si>
    <t>Saúde e Segurança do Trabalhador (SESMT)</t>
  </si>
  <si>
    <t>TOTAL DO MÓDULO 5</t>
  </si>
  <si>
    <t>TOTAL DOS ENCARGOS SOCIAIS E TRABALHISTAS</t>
  </si>
  <si>
    <t>(M-T)      CUSTO TOTAL DA PLANILHA PARA EFEITO DE CÁLCULO DO MÓDULO 6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</si>
  <si>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</si>
  <si>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</si>
  <si>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</si>
  <si>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</si>
  <si>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t>Subtotal  para   efeito  de  cálculo  do s Tributos  (MT + MA + MB) FATURAMENTO [(100-8,65)/100]</t>
  </si>
  <si>
    <t>Tributos</t>
  </si>
  <si>
    <t>C1. Tributos Federais</t>
  </si>
  <si>
    <t xml:space="preserve">C1-A  (PIS 0,65%)   </t>
  </si>
  <si>
    <t>C1. B  (COFINS 3,0%)</t>
  </si>
  <si>
    <t>C.2 Tributos Estaduais (especificar)</t>
  </si>
  <si>
    <t xml:space="preserve">C.3 Tributos Municipais </t>
  </si>
  <si>
    <t xml:space="preserve">C3-A (ISS 5,00%)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</si>
  <si>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</si>
  <si>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</si>
  <si>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</si>
  <si>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</si>
  <si>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</si>
  <si>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</si>
  <si>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</si>
  <si>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</si>
  <si>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+C+ D)</t>
  </si>
  <si>
    <t>Módulo 6 – Custos indiretos, tributos e lucro</t>
  </si>
  <si>
    <t>VALOR TOTAL POR EMPREGADO</t>
  </si>
  <si>
    <t>Valor Mensal do Posto Diurno (DESARMADO)</t>
  </si>
  <si>
    <t>VIGILANTE - NOTURNO (ARMADO)</t>
  </si>
  <si>
    <t>Contratação de empresa para prestação de serviços de vigilância armada com seus respectivos insumos, acessórios e equipamentos necessários ao bom desempenho da atividade, de forma a atender as necessidades de proteção e segurança no ambiente da Central de Abastecimento do Estado de Rondônia - CEARO , de forma continua por um período de 12 (doze)  meses.</t>
  </si>
  <si>
    <t xml:space="preserve">Serviço de vigilância </t>
  </si>
  <si>
    <t>xxxx/2022</t>
  </si>
  <si>
    <t>-</t>
  </si>
  <si>
    <t>VIGILANTE PARCIAL - HORISTA DIURNO</t>
  </si>
  <si>
    <t>Despesas com vigilante parcial p/ hora intrajornada (1.497,22/220=6,81)*15,21 dias</t>
  </si>
  <si>
    <t>DSR Sobre o Vencimento</t>
  </si>
  <si>
    <t>Adicional de Periculosidade Horista</t>
  </si>
  <si>
    <t xml:space="preserve"> Adicional de Férias (TR x 2,78%)</t>
  </si>
  <si>
    <r>
      <rPr>
        <b/>
        <sz val="10"/>
        <rFont val="Calibri"/>
        <scheme val="minor"/>
      </rPr>
      <t>Senai ou Senac</t>
    </r>
    <r>
      <rPr>
        <sz val="10"/>
        <rFont val="Calibri"/>
        <scheme val="minor"/>
      </rPr>
      <t xml:space="preserve"> </t>
    </r>
  </si>
  <si>
    <r>
      <rPr>
        <b/>
        <sz val="10"/>
        <rFont val="Calibri"/>
        <scheme val="minor"/>
      </rPr>
      <t>Salário Educação</t>
    </r>
    <r>
      <rPr>
        <sz val="10"/>
        <rFont val="Calibri"/>
        <scheme val="minor"/>
      </rPr>
      <t xml:space="preserve"> </t>
    </r>
  </si>
  <si>
    <t>Transporte Vigilante Parcial</t>
  </si>
  <si>
    <t>Auxílio alimentação Vigilante Parcial</t>
  </si>
  <si>
    <t>Cesta básica Vigilane Parcial  (((salário hor*16%)-(sal hor*1%))/12)</t>
  </si>
  <si>
    <t>CLÁUSULA 44ª CCT</t>
  </si>
  <si>
    <t>CLÁUSULA 15ª CCT</t>
  </si>
  <si>
    <t xml:space="preserve">Substituto na Cobertura de Férias </t>
  </si>
  <si>
    <t>Outros  (Substituo para reciclagem)</t>
  </si>
  <si>
    <t>Intervalo para Repouso ou Alimentação</t>
  </si>
  <si>
    <t>CLAÚSULA 23ª DA CCT</t>
  </si>
  <si>
    <t>SESMT (cláusula 36ª CCT)</t>
  </si>
  <si>
    <t>CLAÚSULA 36ª DA CCT</t>
  </si>
  <si>
    <t>QUADRO RESUMO DO CUSTO POR EMPREGADO</t>
  </si>
  <si>
    <t>VALOR TOTAL POR POSTO</t>
  </si>
  <si>
    <t>VIGILANTE PARCIAL - HORISTA NOTURNO</t>
  </si>
  <si>
    <t>Despesas com vigilante parcial p/ hora intrajornada (1.497,22/220=6,81)*15 dias</t>
  </si>
  <si>
    <t>Uniformes - Por Vigilante para 12 Meses</t>
  </si>
  <si>
    <t>Descrição</t>
  </si>
  <si>
    <t>Quant.</t>
  </si>
  <si>
    <t>Valor Unit.</t>
  </si>
  <si>
    <t>Valor Total (12 meses)</t>
  </si>
  <si>
    <t>Custo Mensal</t>
  </si>
  <si>
    <t>Calça</t>
  </si>
  <si>
    <t xml:space="preserve">Camisa </t>
  </si>
  <si>
    <t>Sapato</t>
  </si>
  <si>
    <t>Quepe</t>
  </si>
  <si>
    <t>Cinto de Nylon</t>
  </si>
  <si>
    <t>Meias</t>
  </si>
  <si>
    <t>Jaqueta (Japona)</t>
  </si>
  <si>
    <t>Capa de Chuva</t>
  </si>
  <si>
    <t>Crachá</t>
  </si>
  <si>
    <t>Distintivo tipo broche</t>
  </si>
  <si>
    <t xml:space="preserve">MATERIAIS </t>
  </si>
  <si>
    <t>Valor Total (06 meses)</t>
  </si>
  <si>
    <t>Vida Útil (meses)*</t>
  </si>
  <si>
    <t>Livro de ocorrências</t>
  </si>
  <si>
    <t>Apito</t>
  </si>
  <si>
    <t>Cordão de apito</t>
  </si>
  <si>
    <t>Lanterna recarregável</t>
  </si>
  <si>
    <t>EQUIPAMENTOS - VIGILANTE ARMADO</t>
  </si>
  <si>
    <t>Valor Total (06 Meses)</t>
  </si>
  <si>
    <t>Cassetete</t>
  </si>
  <si>
    <t xml:space="preserve">Porta-cassetete </t>
  </si>
  <si>
    <t>Revólver calibre 38</t>
  </si>
  <si>
    <t>Cinturão para revólver</t>
  </si>
  <si>
    <t>Coldre</t>
  </si>
  <si>
    <t>Munição calibre 38</t>
  </si>
  <si>
    <t>Colete à prova de balas</t>
  </si>
  <si>
    <t>Capa para colete balístico</t>
  </si>
  <si>
    <t>(5,96 dias / 30 dias)x(1/12 meses) = 0,0025 = 0,25%</t>
  </si>
  <si>
    <t>CONTRATAÇÃO SERVIÇO DE VIGILÂNCIA ARMADA - FEASE/RO</t>
  </si>
  <si>
    <t>Pilhas para Laternas</t>
  </si>
  <si>
    <t>Rádio transmissor</t>
  </si>
  <si>
    <t>MARÇO/2025</t>
  </si>
  <si>
    <t>RO000076/2025</t>
  </si>
  <si>
    <t>Outros (Substituo para reciclagem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</si>
</sst>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$R$ -416]#,##0.00"/>
    <numFmt numFmtId="166" formatCode="0.000%"/>
    <numFmt numFmtId="167" formatCode="_(&quot;R$ &quot;* #,##0.00_);_(&quot;R$ &quot;* \(#,##0.00\);_(&quot;R$ &quot;* &quot;-&quot;??_);_(@_)"/>
  </numFmts>
  <fonts count="38">
    <font>
      <sz val="11"/>
      <color theme="1"/>
      <name val="Calibri"/>
      <scheme val="minor"/>
    </font>
    <font>
      <u/>
      <sz val="10"/>
      <color indexed="4"/>
      <name val="Arial"/>
    </font>
    <font>
      <sz val="10"/>
      <name val="Arial"/>
    </font>
    <font>
      <b/>
      <sz val="8"/>
      <color indexed="64"/>
      <name val="Verdana"/>
    </font>
    <font>
      <b/>
      <sz val="16"/>
      <color rgb="FF002060"/>
      <name val="Calibri"/>
      <scheme val="minor"/>
    </font>
    <font>
      <sz val="14"/>
      <color theme="1"/>
      <name val="Calibri"/>
      <scheme val="minor"/>
    </font>
    <font>
      <sz val="8"/>
      <color indexed="64"/>
      <name val="Verdana"/>
    </font>
    <font>
      <sz val="14"/>
      <color indexed="64"/>
      <name val="Times New Roman"/>
    </font>
    <font>
      <sz val="10"/>
      <color indexed="64"/>
      <name val="Verdana"/>
    </font>
    <font>
      <b/>
      <sz val="14"/>
      <color indexed="64"/>
      <name val="Calibri"/>
      <scheme val="minor"/>
    </font>
    <font>
      <b/>
      <sz val="14"/>
      <color indexed="64"/>
      <name val="Times New Roman"/>
    </font>
    <font>
      <b/>
      <sz val="11"/>
      <color theme="1"/>
      <name val="Calibri"/>
      <scheme val="minor"/>
    </font>
    <font>
      <b/>
      <sz val="14"/>
      <color indexed="2"/>
      <name val="Arial"/>
    </font>
    <font>
      <b/>
      <sz val="14"/>
      <color indexed="48"/>
      <name val="Trebuchet MS"/>
    </font>
    <font>
      <b/>
      <sz val="14"/>
      <color indexed="2"/>
      <name val="Trebuchet MS"/>
    </font>
    <font>
      <sz val="12"/>
      <name val="Calibri"/>
      <scheme val="minor"/>
    </font>
    <font>
      <b/>
      <sz val="12"/>
      <name val="Calibri"/>
      <scheme val="minor"/>
    </font>
    <font>
      <b/>
      <sz val="14"/>
      <color theme="1"/>
      <name val="Calibri"/>
      <scheme val="minor"/>
    </font>
    <font>
      <sz val="10"/>
      <name val="Calibri"/>
      <scheme val="minor"/>
    </font>
    <font>
      <sz val="14"/>
      <name val="Calibri"/>
      <scheme val="minor"/>
    </font>
    <font>
      <b/>
      <sz val="16"/>
      <name val="Calibri"/>
      <scheme val="minor"/>
    </font>
    <font>
      <b/>
      <sz val="10"/>
      <name val="Calibri"/>
      <scheme val="minor"/>
    </font>
    <font>
      <b/>
      <sz val="10"/>
      <color theme="1"/>
      <name val="Calibri"/>
    </font>
    <font>
      <sz val="11"/>
      <name val="Calibri"/>
    </font>
    <font>
      <b/>
      <sz val="10"/>
      <color indexed="2"/>
      <name val="Calibri"/>
      <scheme val="minor"/>
    </font>
    <font>
      <sz val="10"/>
      <color theme="1"/>
      <name val="Calibri"/>
    </font>
    <font>
      <b/>
      <sz val="10"/>
      <color theme="1"/>
      <name val="Calibri"/>
      <scheme val="minor"/>
    </font>
    <font>
      <sz val="12"/>
      <color theme="1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sz val="11"/>
      <name val="Times New Roman"/>
    </font>
    <font>
      <sz val="11"/>
      <color theme="1"/>
      <name val="Calibri"/>
      <scheme val="minor"/>
    </font>
    <font>
      <b/>
      <sz val="8"/>
      <color indexed="2"/>
      <name val="Verdana"/>
    </font>
    <font>
      <sz val="14"/>
      <color indexed="64"/>
      <name val="Calibri"/>
      <scheme val="minor"/>
    </font>
    <font>
      <b/>
      <u/>
      <sz val="14"/>
      <color indexed="64"/>
      <name val="Calibri"/>
      <scheme val="minor"/>
    </font>
    <font>
      <strike/>
      <sz val="10"/>
      <name val="Calibri"/>
      <scheme val="minor"/>
    </font>
    <font>
      <b/>
      <sz val="9"/>
      <name val="Tahoma"/>
    </font>
    <font>
      <sz val="9"/>
      <name val="Tahoma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499984740745262"/>
        <bgColor theme="0" tint="-0.499984740745262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/>
        <bgColor theme="0" tint="-0.249977111117893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Protection="0">
      <alignment vertical="top"/>
      <protection locked="0"/>
    </xf>
    <xf numFmtId="44" fontId="31" fillId="0" borderId="0" applyFont="0" applyFill="0" applyBorder="0" applyProtection="0"/>
    <xf numFmtId="0" fontId="31" fillId="0" borderId="0"/>
    <xf numFmtId="0" fontId="2" fillId="0" borderId="0"/>
    <xf numFmtId="0" fontId="2" fillId="0" borderId="0"/>
    <xf numFmtId="9" fontId="31" fillId="0" borderId="0" applyFont="0" applyFill="0" applyBorder="0" applyProtection="0"/>
    <xf numFmtId="9" fontId="2" fillId="0" borderId="0" applyFont="0" applyFill="0" applyBorder="0" applyProtection="0"/>
    <xf numFmtId="43" fontId="31" fillId="0" borderId="0" applyFont="0" applyFill="0" applyBorder="0" applyProtection="0"/>
  </cellStyleXfs>
  <cellXfs count="372">
    <xf numFmtId="0" fontId="0" fillId="0" borderId="0" xfId="0"/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5" fillId="0" borderId="0" xfId="0" applyFont="1" applyAlignment="1">
      <alignment horizontal="justify"/>
    </xf>
    <xf numFmtId="0" fontId="6" fillId="2" borderId="2" xfId="0" applyFont="1" applyFill="1" applyBorder="1" applyAlignment="1">
      <alignment horizontal="justify" wrapText="1"/>
    </xf>
    <xf numFmtId="0" fontId="7" fillId="0" borderId="0" xfId="0" applyFont="1" applyAlignment="1">
      <alignment horizontal="justify" wrapText="1"/>
    </xf>
    <xf numFmtId="0" fontId="8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/>
    <xf numFmtId="0" fontId="6" fillId="2" borderId="6" xfId="0" applyFont="1" applyFill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0" borderId="6" xfId="0" applyBorder="1"/>
    <xf numFmtId="0" fontId="1" fillId="0" borderId="0" xfId="1" applyAlignment="1" applyProtection="1"/>
    <xf numFmtId="0" fontId="10" fillId="0" borderId="0" xfId="0" applyFont="1" applyAlignment="1">
      <alignment horizontal="center" wrapText="1"/>
    </xf>
    <xf numFmtId="0" fontId="11" fillId="0" borderId="0" xfId="0" applyFont="1"/>
    <xf numFmtId="0" fontId="5" fillId="0" borderId="0" xfId="0" applyFont="1"/>
    <xf numFmtId="0" fontId="13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justify" vertical="center" wrapText="1"/>
    </xf>
    <xf numFmtId="0" fontId="14" fillId="0" borderId="11" xfId="0" applyFont="1" applyBorder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44" fontId="15" fillId="0" borderId="0" xfId="0" applyNumberFormat="1" applyFont="1" applyAlignment="1">
      <alignment vertical="center"/>
    </xf>
    <xf numFmtId="43" fontId="15" fillId="0" borderId="0" xfId="8" applyFont="1" applyAlignment="1">
      <alignment horizontal="center" vertical="center"/>
    </xf>
    <xf numFmtId="0" fontId="15" fillId="4" borderId="0" xfId="0" applyFont="1" applyFill="1" applyAlignment="1">
      <alignment vertical="center"/>
    </xf>
    <xf numFmtId="43" fontId="15" fillId="4" borderId="0" xfId="8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43" fontId="18" fillId="0" borderId="0" xfId="8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18" xfId="0" applyNumberFormat="1" applyBorder="1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23" xfId="0" applyNumberFormat="1" applyBorder="1" applyAlignment="1">
      <alignment vertical="center" wrapText="1"/>
    </xf>
    <xf numFmtId="0" fontId="18" fillId="4" borderId="0" xfId="0" applyFont="1" applyFill="1" applyAlignment="1">
      <alignment vertical="center"/>
    </xf>
    <xf numFmtId="4" fontId="18" fillId="4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164" fontId="11" fillId="0" borderId="13" xfId="0" applyNumberFormat="1" applyFont="1" applyBorder="1" applyAlignment="1">
      <alignment vertical="center" wrapText="1"/>
    </xf>
    <xf numFmtId="164" fontId="11" fillId="5" borderId="13" xfId="0" applyNumberFormat="1" applyFont="1" applyFill="1" applyBorder="1" applyAlignment="1">
      <alignment horizontal="center" vertical="center" wrapText="1"/>
    </xf>
    <xf numFmtId="164" fontId="11" fillId="5" borderId="13" xfId="0" applyNumberFormat="1" applyFont="1" applyFill="1" applyBorder="1" applyAlignment="1">
      <alignment horizontal="right" vertical="center" wrapText="1"/>
    </xf>
    <xf numFmtId="0" fontId="18" fillId="2" borderId="13" xfId="0" applyFont="1" applyFill="1" applyBorder="1" applyAlignment="1">
      <alignment horizontal="center" vertical="center"/>
    </xf>
    <xf numFmtId="0" fontId="18" fillId="2" borderId="13" xfId="4" applyFont="1" applyFill="1" applyBorder="1" applyAlignment="1">
      <alignment horizontal="left" vertical="center" wrapText="1"/>
    </xf>
    <xf numFmtId="0" fontId="18" fillId="2" borderId="13" xfId="5" applyFont="1" applyFill="1" applyBorder="1" applyAlignment="1">
      <alignment horizontal="justify" vertical="top" wrapText="1"/>
    </xf>
    <xf numFmtId="44" fontId="21" fillId="2" borderId="13" xfId="2" applyFont="1" applyFill="1" applyBorder="1" applyAlignment="1">
      <alignment horizontal="center" vertical="center" wrapText="1"/>
    </xf>
    <xf numFmtId="14" fontId="18" fillId="2" borderId="13" xfId="0" applyNumberFormat="1" applyFont="1" applyFill="1" applyBorder="1" applyAlignment="1">
      <alignment vertical="center"/>
    </xf>
    <xf numFmtId="0" fontId="21" fillId="2" borderId="13" xfId="3" applyFont="1" applyFill="1" applyBorder="1" applyAlignment="1">
      <alignment horizontal="center" vertical="center" wrapText="1"/>
    </xf>
    <xf numFmtId="0" fontId="21" fillId="2" borderId="13" xfId="3" applyFont="1" applyFill="1" applyBorder="1" applyAlignment="1">
      <alignment horizontal="left" vertical="center" wrapText="1"/>
    </xf>
    <xf numFmtId="4" fontId="21" fillId="2" borderId="13" xfId="3" applyNumberFormat="1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vertical="center"/>
    </xf>
    <xf numFmtId="0" fontId="18" fillId="2" borderId="13" xfId="0" applyFont="1" applyFill="1" applyBorder="1" applyAlignment="1">
      <alignment horizontal="justify" vertical="center"/>
    </xf>
    <xf numFmtId="4" fontId="21" fillId="2" borderId="13" xfId="0" applyNumberFormat="1" applyFont="1" applyFill="1" applyBorder="1" applyAlignment="1">
      <alignment horizontal="right" vertical="center"/>
    </xf>
    <xf numFmtId="0" fontId="18" fillId="2" borderId="13" xfId="0" applyFont="1" applyFill="1" applyBorder="1" applyAlignment="1">
      <alignment vertical="center" wrapText="1"/>
    </xf>
    <xf numFmtId="9" fontId="22" fillId="7" borderId="13" xfId="0" applyNumberFormat="1" applyFont="1" applyFill="1" applyBorder="1" applyAlignment="1">
      <alignment horizontal="left" vertical="center"/>
    </xf>
    <xf numFmtId="164" fontId="22" fillId="7" borderId="13" xfId="0" applyNumberFormat="1" applyFont="1" applyFill="1" applyBorder="1" applyAlignment="1">
      <alignment vertical="center"/>
    </xf>
    <xf numFmtId="165" fontId="22" fillId="7" borderId="13" xfId="0" applyNumberFormat="1" applyFont="1" applyFill="1" applyBorder="1" applyAlignment="1">
      <alignment vertical="center"/>
    </xf>
    <xf numFmtId="4" fontId="21" fillId="2" borderId="13" xfId="0" quotePrefix="1" applyNumberFormat="1" applyFont="1" applyFill="1" applyBorder="1" applyAlignment="1">
      <alignment vertical="center"/>
    </xf>
    <xf numFmtId="9" fontId="22" fillId="7" borderId="13" xfId="0" applyNumberFormat="1" applyFont="1" applyFill="1" applyBorder="1" applyAlignment="1">
      <alignment horizontal="center" vertical="center"/>
    </xf>
    <xf numFmtId="164" fontId="22" fillId="7" borderId="13" xfId="0" applyNumberFormat="1" applyFont="1" applyFill="1" applyBorder="1" applyAlignment="1">
      <alignment horizontal="center" vertical="center"/>
    </xf>
    <xf numFmtId="4" fontId="21" fillId="8" borderId="13" xfId="0" applyNumberFormat="1" applyFont="1" applyFill="1" applyBorder="1" applyAlignment="1">
      <alignment vertical="center"/>
    </xf>
    <xf numFmtId="0" fontId="18" fillId="2" borderId="13" xfId="3" applyFont="1" applyFill="1" applyBorder="1" applyAlignment="1">
      <alignment horizontal="center" vertical="center" wrapText="1"/>
    </xf>
    <xf numFmtId="10" fontId="21" fillId="2" borderId="13" xfId="6" applyNumberFormat="1" applyFont="1" applyFill="1" applyBorder="1" applyAlignment="1">
      <alignment vertical="center"/>
    </xf>
    <xf numFmtId="4" fontId="21" fillId="2" borderId="13" xfId="0" applyNumberFormat="1" applyFont="1" applyFill="1" applyBorder="1" applyAlignment="1">
      <alignment vertical="center"/>
    </xf>
    <xf numFmtId="10" fontId="21" fillId="8" borderId="13" xfId="6" applyNumberFormat="1" applyFont="1" applyFill="1" applyBorder="1" applyAlignment="1">
      <alignment vertical="center"/>
    </xf>
    <xf numFmtId="0" fontId="18" fillId="0" borderId="13" xfId="3" applyFont="1" applyBorder="1" applyAlignment="1">
      <alignment horizontal="center" vertical="center" wrapText="1"/>
    </xf>
    <xf numFmtId="10" fontId="21" fillId="0" borderId="13" xfId="6" applyNumberFormat="1" applyFont="1" applyBorder="1" applyAlignment="1">
      <alignment vertical="center"/>
    </xf>
    <xf numFmtId="4" fontId="21" fillId="0" borderId="13" xfId="0" applyNumberFormat="1" applyFont="1" applyBorder="1" applyAlignment="1">
      <alignment vertical="center"/>
    </xf>
    <xf numFmtId="164" fontId="21" fillId="2" borderId="13" xfId="2" applyNumberFormat="1" applyFont="1" applyFill="1" applyBorder="1" applyAlignment="1">
      <alignment vertical="center"/>
    </xf>
    <xf numFmtId="4" fontId="21" fillId="2" borderId="13" xfId="0" quotePrefix="1" applyNumberFormat="1" applyFont="1" applyFill="1" applyBorder="1" applyAlignment="1">
      <alignment horizontal="right" vertical="center"/>
    </xf>
    <xf numFmtId="164" fontId="22" fillId="7" borderId="13" xfId="0" applyNumberFormat="1" applyFont="1" applyFill="1" applyBorder="1" applyAlignment="1">
      <alignment horizontal="right" vertical="center"/>
    </xf>
    <xf numFmtId="10" fontId="22" fillId="7" borderId="13" xfId="0" applyNumberFormat="1" applyFont="1" applyFill="1" applyBorder="1" applyAlignment="1">
      <alignment horizontal="right" vertical="center"/>
    </xf>
    <xf numFmtId="164" fontId="21" fillId="2" borderId="13" xfId="6" applyNumberFormat="1" applyFont="1" applyFill="1" applyBorder="1" applyAlignment="1">
      <alignment horizontal="right" vertical="center"/>
    </xf>
    <xf numFmtId="4" fontId="21" fillId="2" borderId="13" xfId="3" applyNumberFormat="1" applyFont="1" applyFill="1" applyBorder="1" applyAlignment="1">
      <alignment vertical="center" wrapText="1"/>
    </xf>
    <xf numFmtId="166" fontId="21" fillId="8" borderId="13" xfId="6" applyNumberFormat="1" applyFont="1" applyFill="1" applyBorder="1" applyAlignment="1">
      <alignment vertical="center"/>
    </xf>
    <xf numFmtId="10" fontId="21" fillId="8" borderId="13" xfId="3" applyNumberFormat="1" applyFont="1" applyFill="1" applyBorder="1" applyAlignment="1">
      <alignment vertical="center" wrapText="1"/>
    </xf>
    <xf numFmtId="2" fontId="0" fillId="0" borderId="0" xfId="0" applyNumberFormat="1"/>
    <xf numFmtId="166" fontId="21" fillId="8" borderId="13" xfId="3" applyNumberFormat="1" applyFont="1" applyFill="1" applyBorder="1" applyAlignment="1">
      <alignment vertical="center" wrapText="1"/>
    </xf>
    <xf numFmtId="0" fontId="21" fillId="2" borderId="13" xfId="3" applyFont="1" applyFill="1" applyBorder="1" applyAlignment="1">
      <alignment vertical="center" wrapText="1"/>
    </xf>
    <xf numFmtId="0" fontId="21" fillId="2" borderId="13" xfId="6" applyNumberFormat="1" applyFont="1" applyFill="1" applyBorder="1" applyAlignment="1">
      <alignment vertical="center"/>
    </xf>
    <xf numFmtId="0" fontId="21" fillId="2" borderId="13" xfId="0" applyFont="1" applyFill="1" applyBorder="1" applyAlignment="1">
      <alignment vertical="center"/>
    </xf>
    <xf numFmtId="4" fontId="21" fillId="2" borderId="13" xfId="2" applyNumberFormat="1" applyFont="1" applyFill="1" applyBorder="1" applyAlignment="1">
      <alignment horizontal="right" vertical="center"/>
    </xf>
    <xf numFmtId="0" fontId="18" fillId="2" borderId="13" xfId="3" applyFont="1" applyFill="1" applyBorder="1" applyAlignment="1">
      <alignment vertical="center" wrapText="1"/>
    </xf>
    <xf numFmtId="0" fontId="21" fillId="2" borderId="13" xfId="0" applyFont="1" applyFill="1" applyBorder="1" applyAlignment="1">
      <alignment horizontal="justify" vertical="center"/>
    </xf>
    <xf numFmtId="0" fontId="21" fillId="2" borderId="13" xfId="3" applyFont="1" applyFill="1" applyBorder="1" applyAlignment="1">
      <alignment vertical="center"/>
    </xf>
    <xf numFmtId="0" fontId="18" fillId="2" borderId="13" xfId="3" applyFont="1" applyFill="1" applyBorder="1" applyAlignment="1">
      <alignment vertical="center"/>
    </xf>
    <xf numFmtId="10" fontId="21" fillId="2" borderId="13" xfId="0" applyNumberFormat="1" applyFont="1" applyFill="1" applyBorder="1" applyAlignment="1">
      <alignment vertical="center"/>
    </xf>
    <xf numFmtId="166" fontId="21" fillId="2" borderId="13" xfId="6" applyNumberFormat="1" applyFont="1" applyFill="1" applyBorder="1" applyAlignment="1">
      <alignment vertical="center"/>
    </xf>
    <xf numFmtId="164" fontId="11" fillId="5" borderId="13" xfId="0" applyNumberFormat="1" applyFont="1" applyFill="1" applyBorder="1"/>
    <xf numFmtId="164" fontId="22" fillId="7" borderId="24" xfId="0" applyNumberFormat="1" applyFont="1" applyFill="1" applyBorder="1" applyAlignment="1">
      <alignment vertical="center"/>
    </xf>
    <xf numFmtId="0" fontId="18" fillId="2" borderId="27" xfId="0" applyFont="1" applyFill="1" applyBorder="1" applyAlignment="1">
      <alignment horizontal="center" vertical="center" wrapText="1"/>
    </xf>
    <xf numFmtId="9" fontId="22" fillId="7" borderId="28" xfId="0" applyNumberFormat="1" applyFont="1" applyFill="1" applyBorder="1" applyAlignment="1">
      <alignment horizontal="left" vertical="center"/>
    </xf>
    <xf numFmtId="2" fontId="22" fillId="7" borderId="28" xfId="0" applyNumberFormat="1" applyFont="1" applyFill="1" applyBorder="1" applyAlignment="1">
      <alignment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13" xfId="4" applyFont="1" applyFill="1" applyBorder="1" applyAlignment="1">
      <alignment horizontal="right" vertical="center" wrapText="1"/>
    </xf>
    <xf numFmtId="0" fontId="18" fillId="2" borderId="13" xfId="5" applyFont="1" applyFill="1" applyBorder="1" applyAlignment="1">
      <alignment horizontal="justify" vertical="center" wrapText="1"/>
    </xf>
    <xf numFmtId="4" fontId="21" fillId="2" borderId="24" xfId="6" applyNumberFormat="1" applyFont="1" applyFill="1" applyBorder="1" applyAlignment="1">
      <alignment vertical="center"/>
    </xf>
    <xf numFmtId="4" fontId="21" fillId="2" borderId="25" xfId="6" applyNumberFormat="1" applyFont="1" applyFill="1" applyBorder="1" applyAlignment="1">
      <alignment vertical="center"/>
    </xf>
    <xf numFmtId="44" fontId="21" fillId="2" borderId="31" xfId="2" applyFont="1" applyFill="1" applyBorder="1" applyAlignment="1">
      <alignment horizontal="right" vertical="center" wrapText="1"/>
    </xf>
    <xf numFmtId="4" fontId="21" fillId="2" borderId="36" xfId="0" applyNumberFormat="1" applyFont="1" applyFill="1" applyBorder="1" applyAlignment="1">
      <alignment vertical="center"/>
    </xf>
    <xf numFmtId="0" fontId="21" fillId="2" borderId="27" xfId="3" applyFont="1" applyFill="1" applyBorder="1" applyAlignment="1">
      <alignment horizontal="center" vertical="center" wrapText="1"/>
    </xf>
    <xf numFmtId="4" fontId="21" fillId="2" borderId="36" xfId="3" applyNumberFormat="1" applyFont="1" applyFill="1" applyBorder="1" applyAlignment="1">
      <alignment vertical="center" wrapText="1"/>
    </xf>
    <xf numFmtId="43" fontId="22" fillId="7" borderId="39" xfId="8" applyFont="1" applyFill="1" applyBorder="1" applyAlignment="1">
      <alignment vertical="center"/>
    </xf>
    <xf numFmtId="4" fontId="21" fillId="2" borderId="36" xfId="0" applyNumberFormat="1" applyFont="1" applyFill="1" applyBorder="1" applyAlignment="1">
      <alignment horizontal="right" vertical="center"/>
    </xf>
    <xf numFmtId="9" fontId="22" fillId="7" borderId="39" xfId="0" applyNumberFormat="1" applyFont="1" applyFill="1" applyBorder="1" applyAlignment="1">
      <alignment horizontal="left" vertical="center"/>
    </xf>
    <xf numFmtId="164" fontId="22" fillId="7" borderId="39" xfId="0" applyNumberFormat="1" applyFont="1" applyFill="1" applyBorder="1" applyAlignment="1">
      <alignment vertical="center"/>
    </xf>
    <xf numFmtId="165" fontId="22" fillId="7" borderId="40" xfId="0" applyNumberFormat="1" applyFont="1" applyFill="1" applyBorder="1" applyAlignment="1">
      <alignment vertical="center"/>
    </xf>
    <xf numFmtId="4" fontId="21" fillId="2" borderId="36" xfId="0" quotePrefix="1" applyNumberFormat="1" applyFont="1" applyFill="1" applyBorder="1" applyAlignment="1">
      <alignment vertical="center"/>
    </xf>
    <xf numFmtId="4" fontId="21" fillId="8" borderId="36" xfId="0" applyNumberFormat="1" applyFont="1" applyFill="1" applyBorder="1" applyAlignment="1">
      <alignment vertical="center"/>
    </xf>
    <xf numFmtId="4" fontId="21" fillId="0" borderId="36" xfId="0" applyNumberFormat="1" applyFont="1" applyBorder="1" applyAlignment="1">
      <alignment vertical="center"/>
    </xf>
    <xf numFmtId="0" fontId="18" fillId="2" borderId="27" xfId="3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justify" vertical="center"/>
    </xf>
    <xf numFmtId="0" fontId="18" fillId="0" borderId="27" xfId="3" applyFont="1" applyBorder="1" applyAlignment="1">
      <alignment horizontal="center" vertical="center" wrapText="1"/>
    </xf>
    <xf numFmtId="0" fontId="21" fillId="0" borderId="13" xfId="1" applyFont="1" applyBorder="1" applyAlignment="1" applyProtection="1">
      <alignment horizontal="justify" vertical="center"/>
    </xf>
    <xf numFmtId="0" fontId="18" fillId="0" borderId="13" xfId="0" applyFont="1" applyBorder="1" applyAlignment="1">
      <alignment horizontal="justify" vertical="center"/>
    </xf>
    <xf numFmtId="0" fontId="18" fillId="2" borderId="24" xfId="3" applyFont="1" applyFill="1" applyBorder="1" applyAlignment="1">
      <alignment vertical="center" wrapText="1"/>
    </xf>
    <xf numFmtId="0" fontId="18" fillId="2" borderId="26" xfId="3" applyFont="1" applyFill="1" applyBorder="1" applyAlignment="1">
      <alignment vertical="center" wrapText="1"/>
    </xf>
    <xf numFmtId="0" fontId="22" fillId="7" borderId="13" xfId="0" applyFont="1" applyFill="1" applyBorder="1" applyAlignment="1">
      <alignment horizontal="left" vertical="center"/>
    </xf>
    <xf numFmtId="0" fontId="21" fillId="2" borderId="0" xfId="0" applyFont="1" applyFill="1" applyAlignment="1">
      <alignment vertical="center"/>
    </xf>
    <xf numFmtId="10" fontId="22" fillId="7" borderId="39" xfId="0" applyNumberFormat="1" applyFont="1" applyFill="1" applyBorder="1" applyAlignment="1">
      <alignment vertical="center"/>
    </xf>
    <xf numFmtId="4" fontId="21" fillId="2" borderId="36" xfId="3" applyNumberFormat="1" applyFont="1" applyFill="1" applyBorder="1" applyAlignment="1">
      <alignment horizontal="center" vertical="center" wrapText="1"/>
    </xf>
    <xf numFmtId="0" fontId="21" fillId="2" borderId="47" xfId="3" applyFont="1" applyFill="1" applyBorder="1" applyAlignment="1">
      <alignment horizontal="center" vertical="center" wrapText="1"/>
    </xf>
    <xf numFmtId="4" fontId="21" fillId="2" borderId="49" xfId="0" applyNumberFormat="1" applyFont="1" applyFill="1" applyBorder="1" applyAlignment="1">
      <alignment vertical="center"/>
    </xf>
    <xf numFmtId="4" fontId="21" fillId="8" borderId="51" xfId="0" applyNumberFormat="1" applyFont="1" applyFill="1" applyBorder="1" applyAlignment="1">
      <alignment vertical="center"/>
    </xf>
    <xf numFmtId="164" fontId="11" fillId="5" borderId="51" xfId="0" applyNumberFormat="1" applyFont="1" applyFill="1" applyBorder="1"/>
    <xf numFmtId="0" fontId="18" fillId="2" borderId="24" xfId="0" applyFont="1" applyFill="1" applyBorder="1" applyAlignment="1">
      <alignment vertical="center"/>
    </xf>
    <xf numFmtId="164" fontId="11" fillId="5" borderId="59" xfId="0" applyNumberFormat="1" applyFont="1" applyFill="1" applyBorder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43" fontId="27" fillId="0" borderId="0" xfId="8" applyFont="1" applyAlignment="1">
      <alignment horizontal="right" vertical="center"/>
    </xf>
    <xf numFmtId="43" fontId="27" fillId="0" borderId="0" xfId="8" applyFont="1" applyAlignment="1">
      <alignment vertical="center"/>
    </xf>
    <xf numFmtId="0" fontId="29" fillId="0" borderId="13" xfId="0" applyFont="1" applyBorder="1" applyAlignment="1">
      <alignment horizontal="center" vertical="center"/>
    </xf>
    <xf numFmtId="43" fontId="29" fillId="0" borderId="13" xfId="8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30" fillId="2" borderId="13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164" fontId="27" fillId="0" borderId="0" xfId="8" applyNumberFormat="1" applyFont="1" applyAlignment="1">
      <alignment horizontal="center" vertical="center"/>
    </xf>
    <xf numFmtId="43" fontId="27" fillId="0" borderId="13" xfId="8" applyFont="1" applyBorder="1" applyAlignment="1">
      <alignment horizontal="right" vertical="center"/>
    </xf>
    <xf numFmtId="164" fontId="27" fillId="0" borderId="13" xfId="8" applyNumberFormat="1" applyFont="1" applyBorder="1" applyAlignment="1">
      <alignment vertical="center"/>
    </xf>
    <xf numFmtId="0" fontId="15" fillId="2" borderId="13" xfId="0" applyFont="1" applyFill="1" applyBorder="1" applyAlignment="1">
      <alignment horizontal="center" vertical="center"/>
    </xf>
    <xf numFmtId="0" fontId="18" fillId="7" borderId="13" xfId="3" applyFont="1" applyFill="1" applyBorder="1" applyAlignment="1">
      <alignment horizontal="center" vertical="center" wrapText="1"/>
    </xf>
    <xf numFmtId="10" fontId="21" fillId="7" borderId="13" xfId="6" applyNumberFormat="1" applyFont="1" applyFill="1" applyBorder="1" applyAlignment="1">
      <alignment vertical="center"/>
    </xf>
    <xf numFmtId="4" fontId="21" fillId="7" borderId="13" xfId="0" applyNumberFormat="1" applyFont="1" applyFill="1" applyBorder="1" applyAlignment="1">
      <alignment vertical="center"/>
    </xf>
    <xf numFmtId="10" fontId="21" fillId="9" borderId="13" xfId="3" applyNumberFormat="1" applyFont="1" applyFill="1" applyBorder="1" applyAlignment="1">
      <alignment vertical="center" wrapText="1"/>
    </xf>
    <xf numFmtId="4" fontId="21" fillId="9" borderId="13" xfId="0" applyNumberFormat="1" applyFont="1" applyFill="1" applyBorder="1" applyAlignment="1">
      <alignment vertical="center"/>
    </xf>
    <xf numFmtId="0" fontId="21" fillId="7" borderId="13" xfId="3" applyFont="1" applyFill="1" applyBorder="1" applyAlignment="1">
      <alignment horizontal="center" vertical="center" wrapText="1"/>
    </xf>
    <xf numFmtId="4" fontId="21" fillId="7" borderId="13" xfId="3" applyNumberFormat="1" applyFont="1" applyFill="1" applyBorder="1" applyAlignment="1">
      <alignment horizontal="center" vertical="center" wrapText="1"/>
    </xf>
    <xf numFmtId="10" fontId="21" fillId="9" borderId="13" xfId="6" applyNumberFormat="1" applyFont="1" applyFill="1" applyBorder="1" applyAlignment="1">
      <alignment vertical="center"/>
    </xf>
    <xf numFmtId="0" fontId="15" fillId="2" borderId="39" xfId="0" applyFont="1" applyFill="1" applyBorder="1" applyAlignment="1">
      <alignment horizontal="center" vertical="center"/>
    </xf>
    <xf numFmtId="43" fontId="27" fillId="0" borderId="39" xfId="8" applyFont="1" applyBorder="1" applyAlignment="1">
      <alignment horizontal="right" vertical="center"/>
    </xf>
    <xf numFmtId="164" fontId="27" fillId="0" borderId="39" xfId="8" applyNumberFormat="1" applyFont="1" applyBorder="1" applyAlignment="1">
      <alignment vertical="center"/>
    </xf>
    <xf numFmtId="0" fontId="18" fillId="2" borderId="56" xfId="3" applyFont="1" applyFill="1" applyBorder="1" applyAlignment="1">
      <alignment horizontal="left" vertical="center" wrapText="1"/>
    </xf>
    <xf numFmtId="0" fontId="18" fillId="2" borderId="55" xfId="3" applyFont="1" applyFill="1" applyBorder="1" applyAlignment="1">
      <alignment horizontal="center" vertical="center" wrapText="1"/>
    </xf>
    <xf numFmtId="10" fontId="21" fillId="2" borderId="39" xfId="6" applyNumberFormat="1" applyFont="1" applyFill="1" applyBorder="1" applyAlignment="1">
      <alignment vertical="center"/>
    </xf>
    <xf numFmtId="4" fontId="21" fillId="2" borderId="39" xfId="0" applyNumberFormat="1" applyFont="1" applyFill="1" applyBorder="1" applyAlignment="1">
      <alignment vertical="center"/>
    </xf>
    <xf numFmtId="0" fontId="9" fillId="0" borderId="0" xfId="0" applyFont="1" applyAlignment="1">
      <alignment horizontal="justify" wrapText="1"/>
    </xf>
    <xf numFmtId="0" fontId="5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7" fillId="3" borderId="13" xfId="0" applyFont="1" applyFill="1" applyBorder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0" fillId="4" borderId="13" xfId="4" applyFont="1" applyFill="1" applyBorder="1" applyAlignment="1">
      <alignment horizontal="center" vertical="center" wrapText="1"/>
    </xf>
    <xf numFmtId="0" fontId="21" fillId="3" borderId="13" xfId="4" applyFont="1" applyFill="1" applyBorder="1" applyAlignment="1">
      <alignment horizontal="center" vertical="center"/>
    </xf>
    <xf numFmtId="49" fontId="18" fillId="2" borderId="13" xfId="4" applyNumberFormat="1" applyFont="1" applyFill="1" applyBorder="1" applyAlignment="1">
      <alignment horizontal="center" vertical="center" wrapText="1"/>
    </xf>
    <xf numFmtId="0" fontId="18" fillId="2" borderId="13" xfId="4" applyFont="1" applyFill="1" applyBorder="1" applyAlignment="1">
      <alignment horizontal="center" vertical="center" wrapText="1"/>
    </xf>
    <xf numFmtId="0" fontId="21" fillId="6" borderId="13" xfId="4" applyFont="1" applyFill="1" applyBorder="1" applyAlignment="1">
      <alignment horizontal="center" vertical="center"/>
    </xf>
    <xf numFmtId="0" fontId="21" fillId="2" borderId="13" xfId="4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left" vertical="center"/>
    </xf>
    <xf numFmtId="0" fontId="21" fillId="2" borderId="13" xfId="3" applyFont="1" applyFill="1" applyBorder="1" applyAlignment="1">
      <alignment horizontal="center" vertical="center"/>
    </xf>
    <xf numFmtId="0" fontId="21" fillId="2" borderId="13" xfId="3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justify" vertical="center"/>
    </xf>
    <xf numFmtId="9" fontId="22" fillId="7" borderId="13" xfId="0" applyNumberFormat="1" applyFont="1" applyFill="1" applyBorder="1" applyAlignment="1">
      <alignment horizontal="left" vertical="center"/>
    </xf>
    <xf numFmtId="0" fontId="23" fillId="0" borderId="13" xfId="0" applyFont="1" applyBorder="1"/>
    <xf numFmtId="0" fontId="21" fillId="2" borderId="13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21" fillId="8" borderId="13" xfId="3" applyFont="1" applyFill="1" applyBorder="1" applyAlignment="1">
      <alignment horizontal="right" vertical="center" wrapText="1"/>
    </xf>
    <xf numFmtId="0" fontId="18" fillId="2" borderId="13" xfId="3" applyFont="1" applyFill="1" applyBorder="1" applyAlignment="1">
      <alignment horizontal="left" vertical="center" wrapText="1"/>
    </xf>
    <xf numFmtId="0" fontId="18" fillId="8" borderId="13" xfId="0" applyFont="1" applyFill="1" applyBorder="1" applyAlignment="1">
      <alignment horizontal="right" vertical="center" wrapText="1"/>
    </xf>
    <xf numFmtId="0" fontId="24" fillId="2" borderId="13" xfId="3" applyFont="1" applyFill="1" applyBorder="1" applyAlignment="1">
      <alignment horizontal="center" vertical="center" wrapText="1"/>
    </xf>
    <xf numFmtId="0" fontId="18" fillId="0" borderId="13" xfId="1" applyFont="1" applyBorder="1" applyAlignment="1" applyProtection="1">
      <alignment horizontal="left" vertical="center"/>
    </xf>
    <xf numFmtId="0" fontId="18" fillId="7" borderId="13" xfId="3" applyFont="1" applyFill="1" applyBorder="1" applyAlignment="1">
      <alignment horizontal="left" vertical="center" wrapText="1"/>
    </xf>
    <xf numFmtId="0" fontId="21" fillId="9" borderId="13" xfId="3" applyFont="1" applyFill="1" applyBorder="1" applyAlignment="1">
      <alignment horizontal="right" vertical="center" wrapText="1"/>
    </xf>
    <xf numFmtId="0" fontId="21" fillId="7" borderId="13" xfId="3" applyFont="1" applyFill="1" applyBorder="1" applyAlignment="1">
      <alignment horizontal="center" vertical="center"/>
    </xf>
    <xf numFmtId="0" fontId="21" fillId="7" borderId="13" xfId="3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left" vertical="center" wrapText="1"/>
    </xf>
    <xf numFmtId="10" fontId="21" fillId="2" borderId="13" xfId="6" applyNumberFormat="1" applyFont="1" applyFill="1" applyBorder="1" applyAlignment="1">
      <alignment horizontal="right" vertical="center"/>
    </xf>
    <xf numFmtId="0" fontId="21" fillId="2" borderId="13" xfId="3" applyFont="1" applyFill="1" applyBorder="1" applyAlignment="1">
      <alignment horizontal="center" vertical="center" wrapText="1"/>
    </xf>
    <xf numFmtId="0" fontId="21" fillId="8" borderId="13" xfId="3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/>
    </xf>
    <xf numFmtId="0" fontId="21" fillId="2" borderId="13" xfId="3" applyFont="1" applyFill="1" applyBorder="1" applyAlignment="1">
      <alignment horizontal="right" vertical="center" wrapText="1"/>
    </xf>
    <xf numFmtId="0" fontId="21" fillId="2" borderId="13" xfId="3" applyFont="1" applyFill="1" applyBorder="1" applyAlignment="1">
      <alignment vertical="center" wrapText="1"/>
    </xf>
    <xf numFmtId="0" fontId="18" fillId="2" borderId="55" xfId="4" applyFont="1" applyFill="1" applyBorder="1" applyAlignment="1">
      <alignment horizontal="center" vertical="center" wrapText="1"/>
    </xf>
    <xf numFmtId="0" fontId="18" fillId="2" borderId="25" xfId="4" applyFont="1" applyFill="1" applyBorder="1" applyAlignment="1">
      <alignment horizontal="center" vertical="center" wrapText="1"/>
    </xf>
    <xf numFmtId="0" fontId="18" fillId="2" borderId="56" xfId="4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justify" vertical="center"/>
    </xf>
    <xf numFmtId="0" fontId="18" fillId="2" borderId="24" xfId="0" applyFont="1" applyFill="1" applyBorder="1" applyAlignment="1">
      <alignment horizontal="center" vertical="center"/>
    </xf>
    <xf numFmtId="0" fontId="21" fillId="8" borderId="55" xfId="3" applyFont="1" applyFill="1" applyBorder="1" applyAlignment="1">
      <alignment horizontal="right" vertical="center" wrapText="1"/>
    </xf>
    <xf numFmtId="0" fontId="21" fillId="8" borderId="25" xfId="3" applyFont="1" applyFill="1" applyBorder="1" applyAlignment="1">
      <alignment horizontal="right" vertical="center" wrapText="1"/>
    </xf>
    <xf numFmtId="0" fontId="21" fillId="8" borderId="56" xfId="3" applyFont="1" applyFill="1" applyBorder="1" applyAlignment="1">
      <alignment horizontal="right" vertical="center" wrapText="1"/>
    </xf>
    <xf numFmtId="0" fontId="21" fillId="2" borderId="55" xfId="3" applyFont="1" applyFill="1" applyBorder="1" applyAlignment="1">
      <alignment horizontal="center" vertical="center"/>
    </xf>
    <xf numFmtId="0" fontId="21" fillId="2" borderId="25" xfId="3" applyFont="1" applyFill="1" applyBorder="1" applyAlignment="1">
      <alignment horizontal="center" vertical="center"/>
    </xf>
    <xf numFmtId="0" fontId="21" fillId="2" borderId="56" xfId="3" applyFont="1" applyFill="1" applyBorder="1" applyAlignment="1">
      <alignment horizontal="center" vertical="center"/>
    </xf>
    <xf numFmtId="0" fontId="21" fillId="2" borderId="55" xfId="3" applyFont="1" applyFill="1" applyBorder="1" applyAlignment="1">
      <alignment horizontal="left" vertical="center" wrapText="1"/>
    </xf>
    <xf numFmtId="0" fontId="21" fillId="2" borderId="25" xfId="3" applyFont="1" applyFill="1" applyBorder="1" applyAlignment="1">
      <alignment horizontal="left" vertical="center" wrapText="1"/>
    </xf>
    <xf numFmtId="0" fontId="21" fillId="2" borderId="56" xfId="3" applyFont="1" applyFill="1" applyBorder="1" applyAlignment="1">
      <alignment horizontal="left" vertical="center" wrapText="1"/>
    </xf>
    <xf numFmtId="0" fontId="18" fillId="2" borderId="55" xfId="3" applyFont="1" applyFill="1" applyBorder="1" applyAlignment="1">
      <alignment horizontal="left" vertical="center" wrapText="1"/>
    </xf>
    <xf numFmtId="0" fontId="18" fillId="2" borderId="25" xfId="3" applyFont="1" applyFill="1" applyBorder="1" applyAlignment="1">
      <alignment horizontal="left" vertical="center" wrapText="1"/>
    </xf>
    <xf numFmtId="0" fontId="18" fillId="2" borderId="56" xfId="3" applyFont="1" applyFill="1" applyBorder="1" applyAlignment="1">
      <alignment horizontal="left" vertical="center" wrapText="1"/>
    </xf>
    <xf numFmtId="0" fontId="21" fillId="2" borderId="55" xfId="3" applyFont="1" applyFill="1" applyBorder="1" applyAlignment="1">
      <alignment horizontal="center" vertical="center" wrapText="1"/>
    </xf>
    <xf numFmtId="0" fontId="21" fillId="2" borderId="56" xfId="3" applyFont="1" applyFill="1" applyBorder="1" applyAlignment="1">
      <alignment horizontal="center" vertical="center" wrapText="1"/>
    </xf>
    <xf numFmtId="0" fontId="21" fillId="2" borderId="25" xfId="3" applyFont="1" applyFill="1" applyBorder="1" applyAlignment="1">
      <alignment horizontal="center" vertical="center" wrapText="1"/>
    </xf>
    <xf numFmtId="0" fontId="21" fillId="8" borderId="55" xfId="3" applyFont="1" applyFill="1" applyBorder="1" applyAlignment="1">
      <alignment horizontal="center" vertical="center" wrapText="1"/>
    </xf>
    <xf numFmtId="0" fontId="21" fillId="8" borderId="25" xfId="3" applyFont="1" applyFill="1" applyBorder="1" applyAlignment="1">
      <alignment horizontal="center" vertical="center" wrapText="1"/>
    </xf>
    <xf numFmtId="0" fontId="21" fillId="8" borderId="56" xfId="3" applyFont="1" applyFill="1" applyBorder="1" applyAlignment="1">
      <alignment horizontal="center" vertical="center" wrapText="1"/>
    </xf>
    <xf numFmtId="10" fontId="21" fillId="2" borderId="55" xfId="6" applyNumberFormat="1" applyFont="1" applyFill="1" applyBorder="1" applyAlignment="1">
      <alignment horizontal="right" vertical="center"/>
    </xf>
    <xf numFmtId="10" fontId="21" fillId="2" borderId="56" xfId="6" applyNumberFormat="1" applyFont="1" applyFill="1" applyBorder="1" applyAlignment="1">
      <alignment horizontal="right" vertical="center"/>
    </xf>
    <xf numFmtId="0" fontId="11" fillId="5" borderId="55" xfId="0" applyFont="1" applyFill="1" applyBorder="1" applyAlignment="1">
      <alignment horizontal="center"/>
    </xf>
    <xf numFmtId="0" fontId="11" fillId="5" borderId="25" xfId="0" applyFont="1" applyFill="1" applyBorder="1" applyAlignment="1">
      <alignment horizontal="center"/>
    </xf>
    <xf numFmtId="0" fontId="11" fillId="5" borderId="56" xfId="0" applyFont="1" applyFill="1" applyBorder="1" applyAlignment="1">
      <alignment horizontal="center"/>
    </xf>
    <xf numFmtId="0" fontId="20" fillId="4" borderId="3" xfId="4" applyFont="1" applyFill="1" applyBorder="1" applyAlignment="1">
      <alignment horizontal="center" vertical="center" wrapText="1"/>
    </xf>
    <xf numFmtId="0" fontId="20" fillId="4" borderId="4" xfId="4" applyFont="1" applyFill="1" applyBorder="1" applyAlignment="1">
      <alignment horizontal="center" vertical="center" wrapText="1"/>
    </xf>
    <xf numFmtId="0" fontId="20" fillId="4" borderId="5" xfId="4" applyFont="1" applyFill="1" applyBorder="1" applyAlignment="1">
      <alignment horizontal="center" vertical="center" wrapText="1"/>
    </xf>
    <xf numFmtId="0" fontId="21" fillId="2" borderId="29" xfId="4" applyFont="1" applyFill="1" applyBorder="1" applyAlignment="1">
      <alignment horizontal="center" vertical="center"/>
    </xf>
    <xf numFmtId="0" fontId="21" fillId="2" borderId="12" xfId="4" applyFont="1" applyFill="1" applyBorder="1" applyAlignment="1">
      <alignment horizontal="center" vertical="center"/>
    </xf>
    <xf numFmtId="0" fontId="21" fillId="2" borderId="30" xfId="4" applyFont="1" applyFill="1" applyBorder="1" applyAlignment="1">
      <alignment horizontal="center" vertical="center"/>
    </xf>
    <xf numFmtId="49" fontId="18" fillId="2" borderId="24" xfId="4" applyNumberFormat="1" applyFont="1" applyFill="1" applyBorder="1" applyAlignment="1">
      <alignment horizontal="center" vertical="center" wrapText="1"/>
    </xf>
    <xf numFmtId="49" fontId="18" fillId="2" borderId="25" xfId="4" applyNumberFormat="1" applyFont="1" applyFill="1" applyBorder="1" applyAlignment="1">
      <alignment horizontal="center" vertical="center" wrapText="1"/>
    </xf>
    <xf numFmtId="49" fontId="18" fillId="2" borderId="31" xfId="4" applyNumberFormat="1" applyFont="1" applyFill="1" applyBorder="1" applyAlignment="1">
      <alignment horizontal="center" vertical="center" wrapText="1"/>
    </xf>
    <xf numFmtId="0" fontId="18" fillId="2" borderId="24" xfId="4" applyFont="1" applyFill="1" applyBorder="1" applyAlignment="1">
      <alignment horizontal="center" vertical="center" wrapText="1"/>
    </xf>
    <xf numFmtId="0" fontId="18" fillId="2" borderId="31" xfId="4" applyFont="1" applyFill="1" applyBorder="1" applyAlignment="1">
      <alignment horizontal="center" vertical="center" wrapText="1"/>
    </xf>
    <xf numFmtId="0" fontId="21" fillId="6" borderId="32" xfId="4" applyFont="1" applyFill="1" applyBorder="1" applyAlignment="1">
      <alignment horizontal="center" vertical="center"/>
    </xf>
    <xf numFmtId="0" fontId="21" fillId="6" borderId="25" xfId="4" applyFont="1" applyFill="1" applyBorder="1" applyAlignment="1">
      <alignment horizontal="center" vertical="center"/>
    </xf>
    <xf numFmtId="0" fontId="21" fillId="6" borderId="31" xfId="4" applyFont="1" applyFill="1" applyBorder="1" applyAlignment="1">
      <alignment horizontal="center" vertical="center"/>
    </xf>
    <xf numFmtId="0" fontId="21" fillId="2" borderId="33" xfId="4" applyFont="1" applyFill="1" applyBorder="1" applyAlignment="1">
      <alignment horizontal="center" vertical="center"/>
    </xf>
    <xf numFmtId="0" fontId="21" fillId="2" borderId="34" xfId="4" applyFont="1" applyFill="1" applyBorder="1" applyAlignment="1">
      <alignment horizontal="center" vertical="center"/>
    </xf>
    <xf numFmtId="0" fontId="21" fillId="2" borderId="35" xfId="4" applyFont="1" applyFill="1" applyBorder="1" applyAlignment="1">
      <alignment horizontal="center" vertical="center"/>
    </xf>
    <xf numFmtId="0" fontId="21" fillId="6" borderId="12" xfId="4" applyFont="1" applyFill="1" applyBorder="1" applyAlignment="1">
      <alignment horizontal="center" vertical="center"/>
    </xf>
    <xf numFmtId="0" fontId="21" fillId="6" borderId="30" xfId="4" applyFont="1" applyFill="1" applyBorder="1" applyAlignment="1">
      <alignment horizontal="center" vertical="center"/>
    </xf>
    <xf numFmtId="0" fontId="18" fillId="2" borderId="24" xfId="5" applyFont="1" applyFill="1" applyBorder="1" applyAlignment="1">
      <alignment horizontal="right" vertical="center" wrapText="1"/>
    </xf>
    <xf numFmtId="0" fontId="18" fillId="2" borderId="25" xfId="5" applyFont="1" applyFill="1" applyBorder="1" applyAlignment="1">
      <alignment horizontal="right" vertical="center" wrapText="1"/>
    </xf>
    <xf numFmtId="0" fontId="18" fillId="2" borderId="31" xfId="5" applyFont="1" applyFill="1" applyBorder="1" applyAlignment="1">
      <alignment horizontal="right" vertical="center" wrapText="1"/>
    </xf>
    <xf numFmtId="14" fontId="18" fillId="2" borderId="24" xfId="0" applyNumberFormat="1" applyFont="1" applyFill="1" applyBorder="1" applyAlignment="1">
      <alignment horizontal="right" vertical="center"/>
    </xf>
    <xf numFmtId="14" fontId="18" fillId="2" borderId="25" xfId="0" applyNumberFormat="1" applyFont="1" applyFill="1" applyBorder="1" applyAlignment="1">
      <alignment horizontal="right" vertical="center"/>
    </xf>
    <xf numFmtId="14" fontId="18" fillId="2" borderId="31" xfId="0" applyNumberFormat="1" applyFont="1" applyFill="1" applyBorder="1" applyAlignment="1">
      <alignment horizontal="right" vertical="center"/>
    </xf>
    <xf numFmtId="0" fontId="21" fillId="2" borderId="32" xfId="3" applyFont="1" applyFill="1" applyBorder="1" applyAlignment="1">
      <alignment horizontal="center" vertical="center"/>
    </xf>
    <xf numFmtId="0" fontId="21" fillId="2" borderId="26" xfId="3" applyFont="1" applyFill="1" applyBorder="1" applyAlignment="1">
      <alignment horizontal="center" vertical="center"/>
    </xf>
    <xf numFmtId="0" fontId="21" fillId="2" borderId="24" xfId="3" applyFont="1" applyFill="1" applyBorder="1" applyAlignment="1">
      <alignment horizontal="left" vertical="center" wrapText="1"/>
    </xf>
    <xf numFmtId="0" fontId="18" fillId="2" borderId="25" xfId="0" applyFont="1" applyFill="1" applyBorder="1" applyAlignment="1">
      <alignment horizontal="left" vertical="center" wrapText="1"/>
    </xf>
    <xf numFmtId="0" fontId="18" fillId="2" borderId="26" xfId="0" applyFont="1" applyFill="1" applyBorder="1" applyAlignment="1">
      <alignment horizontal="left" vertical="center" wrapText="1"/>
    </xf>
    <xf numFmtId="0" fontId="18" fillId="2" borderId="37" xfId="0" applyFont="1" applyFill="1" applyBorder="1" applyAlignment="1">
      <alignment horizontal="center" vertical="center" wrapText="1"/>
    </xf>
    <xf numFmtId="0" fontId="18" fillId="2" borderId="38" xfId="0" applyFont="1" applyFill="1" applyBorder="1" applyAlignment="1">
      <alignment horizontal="center" vertical="center" wrapText="1"/>
    </xf>
    <xf numFmtId="0" fontId="18" fillId="2" borderId="41" xfId="0" applyFont="1" applyFill="1" applyBorder="1" applyAlignment="1">
      <alignment horizontal="left" vertical="center"/>
    </xf>
    <xf numFmtId="0" fontId="18" fillId="2" borderId="12" xfId="0" applyFont="1" applyFill="1" applyBorder="1" applyAlignment="1">
      <alignment horizontal="left" vertical="center"/>
    </xf>
    <xf numFmtId="0" fontId="18" fillId="2" borderId="20" xfId="0" applyFont="1" applyFill="1" applyBorder="1" applyAlignment="1">
      <alignment horizontal="left" vertical="center"/>
    </xf>
    <xf numFmtId="0" fontId="21" fillId="2" borderId="42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43" xfId="0" applyFont="1" applyFill="1" applyBorder="1" applyAlignment="1">
      <alignment horizontal="center" vertical="center"/>
    </xf>
    <xf numFmtId="9" fontId="22" fillId="7" borderId="28" xfId="0" applyNumberFormat="1" applyFont="1" applyFill="1" applyBorder="1" applyAlignment="1">
      <alignment horizontal="left" vertical="center"/>
    </xf>
    <xf numFmtId="0" fontId="23" fillId="0" borderId="44" xfId="0" applyFont="1" applyBorder="1"/>
    <xf numFmtId="0" fontId="21" fillId="8" borderId="32" xfId="3" applyFont="1" applyFill="1" applyBorder="1" applyAlignment="1">
      <alignment horizontal="right" vertical="center" wrapText="1"/>
    </xf>
    <xf numFmtId="0" fontId="21" fillId="8" borderId="26" xfId="3" applyFont="1" applyFill="1" applyBorder="1" applyAlignment="1">
      <alignment horizontal="right" vertical="center" wrapText="1"/>
    </xf>
    <xf numFmtId="0" fontId="21" fillId="6" borderId="25" xfId="3" applyFont="1" applyFill="1" applyBorder="1" applyAlignment="1">
      <alignment horizontal="center" vertical="center"/>
    </xf>
    <xf numFmtId="0" fontId="21" fillId="6" borderId="26" xfId="3" applyFont="1" applyFill="1" applyBorder="1" applyAlignment="1">
      <alignment horizontal="center" vertical="center"/>
    </xf>
    <xf numFmtId="0" fontId="18" fillId="8" borderId="26" xfId="0" applyFont="1" applyFill="1" applyBorder="1" applyAlignment="1">
      <alignment horizontal="right" vertical="center" wrapText="1"/>
    </xf>
    <xf numFmtId="0" fontId="24" fillId="2" borderId="32" xfId="3" applyFont="1" applyFill="1" applyBorder="1" applyAlignment="1">
      <alignment horizontal="center" vertical="center" wrapText="1"/>
    </xf>
    <xf numFmtId="0" fontId="24" fillId="2" borderId="25" xfId="3" applyFont="1" applyFill="1" applyBorder="1" applyAlignment="1">
      <alignment horizontal="center" vertical="center" wrapText="1"/>
    </xf>
    <xf numFmtId="0" fontId="24" fillId="2" borderId="31" xfId="3" applyFont="1" applyFill="1" applyBorder="1" applyAlignment="1">
      <alignment horizontal="center" vertical="center" wrapText="1"/>
    </xf>
    <xf numFmtId="0" fontId="18" fillId="2" borderId="24" xfId="3" applyFont="1" applyFill="1" applyBorder="1" applyAlignment="1">
      <alignment horizontal="left" vertical="center" wrapText="1"/>
    </xf>
    <xf numFmtId="0" fontId="18" fillId="2" borderId="26" xfId="3" applyFont="1" applyFill="1" applyBorder="1" applyAlignment="1">
      <alignment horizontal="left" vertical="center" wrapText="1"/>
    </xf>
    <xf numFmtId="0" fontId="21" fillId="2" borderId="24" xfId="3" applyFont="1" applyFill="1" applyBorder="1" applyAlignment="1">
      <alignment horizontal="center" vertical="center"/>
    </xf>
    <xf numFmtId="0" fontId="0" fillId="0" borderId="4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left"/>
    </xf>
    <xf numFmtId="0" fontId="0" fillId="0" borderId="0" xfId="0" applyAlignment="1">
      <alignment horizontal="left"/>
    </xf>
    <xf numFmtId="0" fontId="25" fillId="7" borderId="24" xfId="0" applyFont="1" applyFill="1" applyBorder="1" applyAlignment="1">
      <alignment horizontal="left" vertical="center" wrapText="1"/>
    </xf>
    <xf numFmtId="0" fontId="25" fillId="7" borderId="46" xfId="0" applyFont="1" applyFill="1" applyBorder="1" applyAlignment="1">
      <alignment horizontal="left" vertical="center" wrapText="1"/>
    </xf>
    <xf numFmtId="0" fontId="21" fillId="8" borderId="32" xfId="3" applyFont="1" applyFill="1" applyBorder="1" applyAlignment="1">
      <alignment horizontal="center" vertical="center" wrapText="1"/>
    </xf>
    <xf numFmtId="0" fontId="21" fillId="8" borderId="31" xfId="3" applyFont="1" applyFill="1" applyBorder="1" applyAlignment="1">
      <alignment horizontal="center" vertical="center" wrapText="1"/>
    </xf>
    <xf numFmtId="0" fontId="21" fillId="2" borderId="32" xfId="3" applyFont="1" applyFill="1" applyBorder="1" applyAlignment="1">
      <alignment horizontal="center" vertical="center" wrapText="1"/>
    </xf>
    <xf numFmtId="0" fontId="21" fillId="2" borderId="26" xfId="3" applyFont="1" applyFill="1" applyBorder="1" applyAlignment="1">
      <alignment horizontal="center" vertical="center" wrapText="1"/>
    </xf>
    <xf numFmtId="0" fontId="21" fillId="8" borderId="3" xfId="3" applyFont="1" applyFill="1" applyBorder="1" applyAlignment="1">
      <alignment horizontal="left" vertical="center" wrapText="1"/>
    </xf>
    <xf numFmtId="0" fontId="21" fillId="8" borderId="4" xfId="3" applyFont="1" applyFill="1" applyBorder="1" applyAlignment="1">
      <alignment horizontal="left" vertical="center" wrapText="1"/>
    </xf>
    <xf numFmtId="0" fontId="21" fillId="8" borderId="50" xfId="3" applyFont="1" applyFill="1" applyBorder="1" applyAlignment="1">
      <alignment horizontal="left" vertical="center" wrapText="1"/>
    </xf>
    <xf numFmtId="0" fontId="11" fillId="5" borderId="52" xfId="0" applyFont="1" applyFill="1" applyBorder="1" applyAlignment="1">
      <alignment horizontal="left"/>
    </xf>
    <xf numFmtId="0" fontId="11" fillId="5" borderId="53" xfId="0" applyFont="1" applyFill="1" applyBorder="1" applyAlignment="1">
      <alignment horizontal="left"/>
    </xf>
    <xf numFmtId="0" fontId="26" fillId="0" borderId="4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54" xfId="0" applyFont="1" applyBorder="1" applyAlignment="1">
      <alignment horizontal="center" wrapText="1"/>
    </xf>
    <xf numFmtId="0" fontId="21" fillId="2" borderId="26" xfId="3" applyFont="1" applyFill="1" applyBorder="1" applyAlignment="1">
      <alignment horizontal="left" vertical="center" wrapText="1"/>
    </xf>
    <xf numFmtId="0" fontId="21" fillId="2" borderId="37" xfId="3" applyFont="1" applyFill="1" applyBorder="1" applyAlignment="1">
      <alignment horizontal="left" vertical="center" wrapText="1"/>
    </xf>
    <xf numFmtId="0" fontId="21" fillId="2" borderId="34" xfId="3" applyFont="1" applyFill="1" applyBorder="1" applyAlignment="1">
      <alignment horizontal="left" vertical="center" wrapText="1"/>
    </xf>
    <xf numFmtId="0" fontId="21" fillId="2" borderId="48" xfId="3" applyFont="1" applyFill="1" applyBorder="1" applyAlignment="1">
      <alignment horizontal="left" vertical="center" wrapText="1"/>
    </xf>
    <xf numFmtId="9" fontId="22" fillId="7" borderId="55" xfId="0" applyNumberFormat="1" applyFont="1" applyFill="1" applyBorder="1" applyAlignment="1">
      <alignment horizontal="left" vertical="center"/>
    </xf>
    <xf numFmtId="9" fontId="22" fillId="7" borderId="56" xfId="0" applyNumberFormat="1" applyFont="1" applyFill="1" applyBorder="1" applyAlignment="1">
      <alignment horizontal="left" vertical="center"/>
    </xf>
    <xf numFmtId="0" fontId="11" fillId="5" borderId="57" xfId="0" applyFont="1" applyFill="1" applyBorder="1" applyAlignment="1">
      <alignment horizontal="left"/>
    </xf>
    <xf numFmtId="0" fontId="11" fillId="5" borderId="58" xfId="0" applyFont="1" applyFill="1" applyBorder="1" applyAlignment="1">
      <alignment horizontal="left"/>
    </xf>
    <xf numFmtId="0" fontId="26" fillId="0" borderId="24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28" fillId="4" borderId="52" xfId="0" applyFont="1" applyFill="1" applyBorder="1" applyAlignment="1">
      <alignment horizontal="center" vertical="center"/>
    </xf>
    <xf numFmtId="0" fontId="28" fillId="4" borderId="53" xfId="0" applyFont="1" applyFill="1" applyBorder="1" applyAlignment="1">
      <alignment horizontal="center" vertical="center"/>
    </xf>
    <xf numFmtId="0" fontId="28" fillId="4" borderId="51" xfId="0" applyFont="1" applyFill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43" fontId="29" fillId="0" borderId="24" xfId="8" applyFont="1" applyBorder="1" applyAlignment="1">
      <alignment horizontal="center" vertical="center"/>
    </xf>
    <xf numFmtId="43" fontId="29" fillId="0" borderId="26" xfId="8" applyFont="1" applyBorder="1" applyAlignment="1">
      <alignment horizontal="center" vertical="center"/>
    </xf>
    <xf numFmtId="43" fontId="29" fillId="0" borderId="13" xfId="8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167" fontId="27" fillId="0" borderId="13" xfId="0" applyNumberFormat="1" applyFont="1" applyBorder="1" applyAlignment="1">
      <alignment horizontal="right" vertical="center"/>
    </xf>
    <xf numFmtId="164" fontId="27" fillId="0" borderId="24" xfId="8" applyNumberFormat="1" applyFont="1" applyBorder="1" applyAlignment="1">
      <alignment horizontal="center" vertical="center"/>
    </xf>
    <xf numFmtId="164" fontId="27" fillId="0" borderId="26" xfId="8" applyNumberFormat="1" applyFont="1" applyBorder="1" applyAlignment="1">
      <alignment horizontal="center" vertical="center"/>
    </xf>
    <xf numFmtId="164" fontId="27" fillId="0" borderId="13" xfId="8" applyNumberFormat="1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164" fontId="29" fillId="0" borderId="24" xfId="8" applyNumberFormat="1" applyFont="1" applyBorder="1" applyAlignment="1">
      <alignment horizontal="center" vertical="center"/>
    </xf>
    <xf numFmtId="164" fontId="29" fillId="0" borderId="26" xfId="8" applyNumberFormat="1" applyFont="1" applyBorder="1" applyAlignment="1">
      <alignment horizontal="center" vertical="center"/>
    </xf>
    <xf numFmtId="0" fontId="29" fillId="4" borderId="60" xfId="0" applyFont="1" applyFill="1" applyBorder="1" applyAlignment="1">
      <alignment horizontal="center" vertical="center"/>
    </xf>
    <xf numFmtId="43" fontId="29" fillId="0" borderId="24" xfId="8" applyFont="1" applyBorder="1" applyAlignment="1">
      <alignment horizontal="center" vertical="center" wrapText="1"/>
    </xf>
    <xf numFmtId="43" fontId="29" fillId="0" borderId="26" xfId="8" applyFont="1" applyBorder="1" applyAlignment="1">
      <alignment horizontal="center" vertical="center" wrapText="1"/>
    </xf>
    <xf numFmtId="167" fontId="27" fillId="0" borderId="24" xfId="0" applyNumberFormat="1" applyFont="1" applyBorder="1" applyAlignment="1">
      <alignment horizontal="right" vertical="center"/>
    </xf>
    <xf numFmtId="167" fontId="27" fillId="0" borderId="26" xfId="0" applyNumberFormat="1" applyFont="1" applyBorder="1" applyAlignment="1">
      <alignment horizontal="right" vertical="center"/>
    </xf>
    <xf numFmtId="0" fontId="27" fillId="0" borderId="55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167" fontId="27" fillId="0" borderId="55" xfId="0" applyNumberFormat="1" applyFont="1" applyBorder="1" applyAlignment="1">
      <alignment horizontal="right" vertical="center"/>
    </xf>
    <xf numFmtId="167" fontId="27" fillId="0" borderId="56" xfId="0" applyNumberFormat="1" applyFont="1" applyBorder="1" applyAlignment="1">
      <alignment horizontal="right" vertical="center"/>
    </xf>
    <xf numFmtId="164" fontId="27" fillId="0" borderId="55" xfId="8" applyNumberFormat="1" applyFont="1" applyBorder="1" applyAlignment="1">
      <alignment horizontal="center" vertical="center"/>
    </xf>
    <xf numFmtId="164" fontId="27" fillId="0" borderId="56" xfId="8" applyNumberFormat="1" applyFont="1" applyBorder="1" applyAlignment="1">
      <alignment horizontal="center" vertical="center"/>
    </xf>
    <xf numFmtId="167" fontId="27" fillId="0" borderId="55" xfId="0" applyNumberFormat="1" applyFont="1" applyBorder="1" applyAlignment="1">
      <alignment horizontal="center" vertical="center"/>
    </xf>
    <xf numFmtId="167" fontId="27" fillId="0" borderId="56" xfId="0" applyNumberFormat="1" applyFont="1" applyBorder="1" applyAlignment="1">
      <alignment horizontal="center" vertical="center"/>
    </xf>
    <xf numFmtId="167" fontId="27" fillId="0" borderId="39" xfId="0" applyNumberFormat="1" applyFont="1" applyBorder="1" applyAlignment="1">
      <alignment horizontal="right" vertical="center"/>
    </xf>
    <xf numFmtId="164" fontId="29" fillId="0" borderId="13" xfId="8" applyNumberFormat="1" applyFont="1" applyBorder="1" applyAlignment="1">
      <alignment horizontal="center" vertical="center"/>
    </xf>
    <xf numFmtId="0" fontId="29" fillId="4" borderId="13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167" fontId="27" fillId="0" borderId="24" xfId="0" applyNumberFormat="1" applyFont="1" applyBorder="1" applyAlignment="1">
      <alignment horizontal="center" vertical="center"/>
    </xf>
    <xf numFmtId="167" fontId="27" fillId="0" borderId="26" xfId="0" applyNumberFormat="1" applyFont="1" applyBorder="1" applyAlignment="1">
      <alignment horizontal="center" vertical="center"/>
    </xf>
  </cellXfs>
  <cellStyles count="9">
    <cellStyle name="Hiperlink" xfId="1" builtinId="8"/>
    <cellStyle name="Moeda" xfId="2" builtinId="4"/>
    <cellStyle name="Normal" xfId="0" builtinId="0"/>
    <cellStyle name="Normal 2" xfId="3" xr:uid="{00000000-0005-0000-0000-000003000000}"/>
    <cellStyle name="Normal 4" xfId="4" xr:uid="{00000000-0005-0000-0000-000004000000}"/>
    <cellStyle name="Normal 5" xfId="5" xr:uid="{00000000-0005-0000-0000-000005000000}"/>
    <cellStyle name="Porcentagem" xfId="6" builtinId="5"/>
    <cellStyle name="Porcentagem 2" xfId="7" xr:uid="{00000000-0005-0000-0000-000007000000}"/>
    <cellStyle name="Vírgula" xfId="8" builtinId="3"/>
  </cellStyles>
  <dxfs count="2">
    <dxf>
      <font>
        <b/>
        <i val="0"/>
        <strike val="0"/>
        <u val="none"/>
        <vertAlign val="baseline"/>
        <sz val="14"/>
        <color indexed="2"/>
        <name val="Trebuchet MS"/>
        <scheme val="none"/>
      </font>
      <fill>
        <patternFill patternType="solid">
          <fgColor indexed="65"/>
          <bgColor indexed="65"/>
        </patternFill>
      </fill>
      <alignment horizontal="justify" vertical="center" textRotation="0" wrapText="1" relativeIndent="0" shrinkToFit="0"/>
      <border>
        <left style="medium">
          <color auto="1"/>
        </left>
        <right/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strike val="0"/>
        <u val="none"/>
        <vertAlign val="baseline"/>
        <sz val="14"/>
        <color indexed="2"/>
        <name val="Trebuchet MS"/>
        <scheme val="none"/>
      </font>
      <fill>
        <patternFill patternType="solid">
          <fgColor indexed="65"/>
          <bgColor indexed="65"/>
        </patternFill>
      </fill>
      <alignment horizontal="justify" vertical="center" textRotation="0" wrapText="1" relativeIndent="0" shrinkToFit="0"/>
      <border>
        <left/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ão Vitor Rodrigues de Souza" id="{1F89D592-A4B5-5265-A20B-F79A6E1D9480}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" displayName="Tabela2" ref="A3:B22">
  <autoFilter ref="A3:B22" xr:uid="{00000000-0009-0000-0100-000001000000}"/>
  <tableColumns count="2">
    <tableColumn id="1" xr3:uid="{00000000-0010-0000-0000-000001000000}" name="Colunas1" dataDxfId="1"/>
    <tableColumn id="2" xr3:uid="{00000000-0010-0000-0000-000002000000}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Escritório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7" personId="{1F89D592-A4B5-5265-A20B-F79A6E1D9480}" id="{003E004F-0071-43F0-B653-008C00EB003C}" done="0">
    <text xml:space="preserve">Calculado sobre o salário minimo. 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7" personId="{1F89D592-A4B5-5265-A20B-F79A6E1D9480}" id="{006E0074-00D4-4763-820A-0085005B00C7}" done="0">
    <text xml:space="preserve">Calculado sobre o salário minimo. 
</text>
  </threadedComment>
  <threadedComment ref="D18" personId="{1F89D592-A4B5-5265-A20B-F79A6E1D9480}" id="{001B00E0-006A-4901-80F4-00CA009300E1}" done="0">
    <text xml:space="preserve">MEDIA ARITIMETICA:
365 DIAS / 12 MESES =30,42 DIAS DE TRABALHO MENSAL
30,42 DIAS / 2 VIGILANTES POR MÊS = 15,21 DIAS
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../AppData/Local/Temp/17%20Instrucao%20Normativa%2002_2008%20Servicos%20Continuados/0%20LEGISLACAO%20GERAL/IN%2003_2005%20MSP_SRP/AnexoII_IN03.rtf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hyperlink" Target="../../../../../../../../../../../../../../../../../../../AppData/Local/Temp/17%20Instrucao%20Normativa%2002_2008%20Servicos%20Continuados/0%20LEGISLACAO%20GERAL/IN%2003_2005%20MSP_SRP/AnexoII_IN03.rtf" TargetMode="External"/><Relationship Id="rId4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../../../../../../../../../../../../../../../AppData/Local/Temp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0"/>
  <sheetViews>
    <sheetView topLeftCell="B1" zoomScale="145" workbookViewId="0">
      <selection activeCell="E8" sqref="E8"/>
    </sheetView>
  </sheetViews>
  <sheetFormatPr defaultRowHeight="1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>
      <c r="E1" s="1" t="s">
        <v>0</v>
      </c>
    </row>
    <row r="2" spans="1:5" ht="21">
      <c r="A2" s="171" t="s">
        <v>1</v>
      </c>
      <c r="B2" s="171"/>
      <c r="C2" s="171"/>
      <c r="E2" s="2" t="s">
        <v>2</v>
      </c>
    </row>
    <row r="3" spans="1:5" ht="174" customHeight="1">
      <c r="A3" s="170" t="s">
        <v>3</v>
      </c>
      <c r="B3" s="170"/>
      <c r="C3" s="170"/>
      <c r="E3" s="4" t="s">
        <v>4</v>
      </c>
    </row>
    <row r="4" spans="1:5" ht="18.75" customHeight="1">
      <c r="A4" s="5"/>
      <c r="E4" s="6"/>
    </row>
    <row r="5" spans="1:5" ht="15.75" customHeight="1">
      <c r="A5" s="172" t="s">
        <v>5</v>
      </c>
      <c r="B5" s="173"/>
      <c r="C5" s="174"/>
      <c r="E5" s="7" t="s">
        <v>6</v>
      </c>
    </row>
    <row r="6" spans="1:5" ht="22.5">
      <c r="A6" s="175" t="s">
        <v>7</v>
      </c>
      <c r="B6" s="175" t="s">
        <v>8</v>
      </c>
      <c r="C6" s="8" t="s">
        <v>9</v>
      </c>
      <c r="E6" s="7" t="s">
        <v>10</v>
      </c>
    </row>
    <row r="7" spans="1:5" ht="15.75" customHeight="1">
      <c r="A7" s="176"/>
      <c r="B7" s="176"/>
      <c r="C7" s="9" t="s">
        <v>11</v>
      </c>
      <c r="E7" s="7" t="s">
        <v>12</v>
      </c>
    </row>
    <row r="8" spans="1:5">
      <c r="A8" s="10" t="s">
        <v>13</v>
      </c>
      <c r="B8" s="8">
        <v>30</v>
      </c>
      <c r="C8" s="8">
        <v>7</v>
      </c>
      <c r="D8">
        <f>(7/30)/12</f>
        <v>1.94444444444444E-2</v>
      </c>
      <c r="E8" s="11" t="s">
        <v>14</v>
      </c>
    </row>
    <row r="9" spans="1:5" ht="13.5" customHeight="1">
      <c r="A9" s="12" t="s">
        <v>15</v>
      </c>
      <c r="B9" s="13">
        <v>33</v>
      </c>
      <c r="C9" s="13">
        <v>8</v>
      </c>
      <c r="D9">
        <f t="shared" ref="D9:D13" si="0">(3/30)/12</f>
        <v>8.3333333333333297E-3</v>
      </c>
    </row>
    <row r="10" spans="1:5" ht="13.5" customHeight="1">
      <c r="A10" s="12" t="s">
        <v>16</v>
      </c>
      <c r="B10" s="13">
        <v>36</v>
      </c>
      <c r="C10" s="13">
        <v>8</v>
      </c>
      <c r="D10">
        <f t="shared" si="0"/>
        <v>8.3333333333333297E-3</v>
      </c>
    </row>
    <row r="11" spans="1:5" ht="13.5" customHeight="1">
      <c r="A11" s="12" t="s">
        <v>17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>
      <c r="A12" s="14" t="s">
        <v>18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>
      <c r="A13" s="12" t="s">
        <v>19</v>
      </c>
      <c r="B13" s="13">
        <v>45</v>
      </c>
      <c r="C13" s="13">
        <v>11</v>
      </c>
      <c r="D13">
        <f t="shared" si="0"/>
        <v>8.3333333333333297E-3</v>
      </c>
      <c r="E13" t="s">
        <v>20</v>
      </c>
    </row>
    <row r="14" spans="1:5">
      <c r="A14" s="12" t="s">
        <v>21</v>
      </c>
      <c r="B14" s="13">
        <v>48</v>
      </c>
      <c r="C14" s="13">
        <v>11</v>
      </c>
      <c r="E14" t="s">
        <v>22</v>
      </c>
    </row>
    <row r="15" spans="1:5">
      <c r="A15" s="12" t="s">
        <v>23</v>
      </c>
      <c r="B15" s="13">
        <v>51</v>
      </c>
      <c r="C15" s="13">
        <v>12</v>
      </c>
    </row>
    <row r="16" spans="1:5">
      <c r="A16" s="12" t="s">
        <v>24</v>
      </c>
      <c r="B16" s="13">
        <v>54</v>
      </c>
      <c r="C16" s="13">
        <v>13</v>
      </c>
    </row>
    <row r="17" spans="1:5">
      <c r="A17" s="12" t="s">
        <v>25</v>
      </c>
      <c r="B17" s="13">
        <v>57</v>
      </c>
      <c r="C17" s="13">
        <v>13</v>
      </c>
    </row>
    <row r="18" spans="1:5">
      <c r="A18" s="12" t="s">
        <v>26</v>
      </c>
      <c r="B18" s="13">
        <v>60</v>
      </c>
      <c r="C18" s="13">
        <v>14</v>
      </c>
    </row>
    <row r="19" spans="1:5">
      <c r="A19" s="12" t="s">
        <v>27</v>
      </c>
      <c r="B19" s="13">
        <v>63</v>
      </c>
      <c r="C19" s="13">
        <v>15</v>
      </c>
    </row>
    <row r="20" spans="1:5">
      <c r="A20" s="12" t="s">
        <v>28</v>
      </c>
      <c r="B20" s="13">
        <v>66</v>
      </c>
      <c r="C20" s="13">
        <v>15</v>
      </c>
    </row>
    <row r="21" spans="1:5">
      <c r="A21" s="12" t="s">
        <v>29</v>
      </c>
      <c r="B21" s="13">
        <v>69</v>
      </c>
      <c r="C21" s="13">
        <v>16</v>
      </c>
    </row>
    <row r="22" spans="1:5">
      <c r="A22" s="12" t="s">
        <v>30</v>
      </c>
      <c r="B22" s="13">
        <v>72</v>
      </c>
      <c r="C22" s="13">
        <v>17</v>
      </c>
    </row>
    <row r="23" spans="1:5">
      <c r="A23" s="12" t="s">
        <v>31</v>
      </c>
      <c r="B23" s="13">
        <v>75</v>
      </c>
      <c r="C23" s="13">
        <v>18</v>
      </c>
    </row>
    <row r="24" spans="1:5">
      <c r="A24" s="12" t="s">
        <v>32</v>
      </c>
      <c r="B24" s="13">
        <v>78</v>
      </c>
      <c r="C24" s="13">
        <v>18</v>
      </c>
    </row>
    <row r="25" spans="1:5">
      <c r="A25" s="12" t="s">
        <v>33</v>
      </c>
      <c r="B25" s="13">
        <v>81</v>
      </c>
      <c r="C25" s="13">
        <v>19</v>
      </c>
    </row>
    <row r="26" spans="1:5">
      <c r="A26" s="12" t="s">
        <v>34</v>
      </c>
      <c r="B26" s="13">
        <v>84</v>
      </c>
      <c r="C26" s="13">
        <v>20</v>
      </c>
    </row>
    <row r="27" spans="1:5">
      <c r="A27" s="12" t="s">
        <v>35</v>
      </c>
      <c r="B27" s="13">
        <v>87</v>
      </c>
      <c r="C27" s="13">
        <v>20</v>
      </c>
    </row>
    <row r="28" spans="1:5">
      <c r="A28" s="16" t="s">
        <v>36</v>
      </c>
      <c r="B28" s="9">
        <v>90</v>
      </c>
      <c r="C28" s="9">
        <v>21</v>
      </c>
      <c r="E28" s="17" t="s">
        <v>37</v>
      </c>
    </row>
    <row r="29" spans="1:5" ht="18.75">
      <c r="A29" s="5"/>
    </row>
    <row r="30" spans="1:5" ht="145.5" customHeight="1">
      <c r="A30" s="169" t="s">
        <v>38</v>
      </c>
      <c r="B30" s="169"/>
      <c r="C30" s="169"/>
    </row>
    <row r="31" spans="1:5" ht="18.75">
      <c r="A31" s="5"/>
    </row>
    <row r="32" spans="1:5" ht="18.75">
      <c r="A32" s="18" t="s">
        <v>39</v>
      </c>
    </row>
    <row r="33" spans="1:3" ht="18.75">
      <c r="A33" s="5"/>
    </row>
    <row r="34" spans="1:3">
      <c r="A34" s="170" t="s">
        <v>40</v>
      </c>
      <c r="B34" s="170"/>
      <c r="C34" s="170"/>
    </row>
    <row r="35" spans="1:3">
      <c r="A35" s="170"/>
      <c r="B35" s="170"/>
      <c r="C35" s="170"/>
    </row>
    <row r="36" spans="1:3">
      <c r="A36" s="170" t="s">
        <v>41</v>
      </c>
      <c r="B36" s="170"/>
      <c r="C36" s="170"/>
    </row>
    <row r="37" spans="1:3">
      <c r="A37" s="170"/>
      <c r="B37" s="170"/>
      <c r="C37" s="170"/>
    </row>
    <row r="40" spans="1:3">
      <c r="A40" s="19" t="s">
        <v>42</v>
      </c>
    </row>
  </sheetData>
  <mergeCells count="8">
    <mergeCell ref="A30:C30"/>
    <mergeCell ref="A34:C35"/>
    <mergeCell ref="A36:C37"/>
    <mergeCell ref="A2:C2"/>
    <mergeCell ref="A3:C3"/>
    <mergeCell ref="A5:C5"/>
    <mergeCell ref="A6:A7"/>
    <mergeCell ref="B6:B7"/>
  </mergeCells>
  <hyperlinks>
    <hyperlink ref="E28" location="'ADAPTAÇÃO A IN 06_13'!B77" display="VOLTAR PLANILHA PRINCIPAL" xr:uid="{00000000-0004-0000-0000-000000000000}"/>
  </hyperlinks>
  <pageMargins left="0.511811024" right="0.511811024" top="0.78740157500000008" bottom="0.78740157500000008" header="0.31496062000000008" footer="0.31496062000000008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topLeftCell="A7" workbookViewId="0">
      <selection activeCell="E8" sqref="E8"/>
    </sheetView>
  </sheetViews>
  <sheetFormatPr defaultColWidth="42.85546875" defaultRowHeight="18.75"/>
  <cols>
    <col min="1" max="1" width="42.85546875" style="3"/>
    <col min="2" max="2" width="72.5703125" style="3" customWidth="1"/>
    <col min="3" max="16384" width="42.85546875" style="20"/>
  </cols>
  <sheetData>
    <row r="1" spans="1:2">
      <c r="A1" s="177" t="s">
        <v>43</v>
      </c>
      <c r="B1" s="177"/>
    </row>
    <row r="2" spans="1:2">
      <c r="A2" s="21" t="s">
        <v>44</v>
      </c>
      <c r="B2" s="21" t="s">
        <v>45</v>
      </c>
    </row>
    <row r="3" spans="1:2">
      <c r="A3" s="22" t="s">
        <v>46</v>
      </c>
      <c r="B3" s="23" t="s">
        <v>47</v>
      </c>
    </row>
    <row r="4" spans="1:2" ht="56.25">
      <c r="A4" s="24" t="s">
        <v>48</v>
      </c>
      <c r="B4" s="25" t="s">
        <v>49</v>
      </c>
    </row>
    <row r="5" spans="1:2">
      <c r="A5" s="24" t="s">
        <v>50</v>
      </c>
      <c r="B5" s="25" t="s">
        <v>51</v>
      </c>
    </row>
    <row r="6" spans="1:2" ht="93.75">
      <c r="A6" s="24" t="s">
        <v>52</v>
      </c>
      <c r="B6" s="25" t="s">
        <v>53</v>
      </c>
    </row>
    <row r="7" spans="1:2" ht="37.5">
      <c r="A7" s="24" t="s">
        <v>54</v>
      </c>
      <c r="B7" s="25" t="s">
        <v>55</v>
      </c>
    </row>
    <row r="8" spans="1:2">
      <c r="A8" s="24" t="s">
        <v>56</v>
      </c>
      <c r="B8" s="25" t="s">
        <v>57</v>
      </c>
    </row>
    <row r="9" spans="1:2" ht="37.5">
      <c r="A9" s="24" t="s">
        <v>58</v>
      </c>
      <c r="B9" s="25" t="s">
        <v>59</v>
      </c>
    </row>
    <row r="10" spans="1:2" ht="56.25">
      <c r="A10" s="24" t="s">
        <v>60</v>
      </c>
      <c r="B10" s="25" t="s">
        <v>61</v>
      </c>
    </row>
    <row r="11" spans="1:2" ht="75">
      <c r="A11" s="24" t="s">
        <v>62</v>
      </c>
      <c r="B11" s="25" t="s">
        <v>63</v>
      </c>
    </row>
    <row r="12" spans="1:2" ht="56.25">
      <c r="A12" s="24" t="s">
        <v>60</v>
      </c>
      <c r="B12" s="25" t="s">
        <v>64</v>
      </c>
    </row>
    <row r="13" spans="1:2" ht="37.5">
      <c r="A13" s="24" t="s">
        <v>60</v>
      </c>
      <c r="B13" s="25" t="s">
        <v>65</v>
      </c>
    </row>
    <row r="14" spans="1:2" ht="56.25">
      <c r="A14" s="24" t="s">
        <v>60</v>
      </c>
      <c r="B14" s="25" t="s">
        <v>66</v>
      </c>
    </row>
    <row r="15" spans="1:2">
      <c r="A15" s="24" t="s">
        <v>60</v>
      </c>
      <c r="B15" s="25" t="s">
        <v>67</v>
      </c>
    </row>
    <row r="16" spans="1:2" ht="37.5">
      <c r="A16" s="24" t="s">
        <v>68</v>
      </c>
      <c r="B16" s="25" t="s">
        <v>69</v>
      </c>
    </row>
    <row r="17" spans="1:2" ht="37.5">
      <c r="A17" s="24" t="s">
        <v>70</v>
      </c>
      <c r="B17" s="25" t="s">
        <v>71</v>
      </c>
    </row>
    <row r="18" spans="1:2" ht="37.5">
      <c r="A18" s="24" t="s">
        <v>60</v>
      </c>
      <c r="B18" s="25" t="s">
        <v>72</v>
      </c>
    </row>
    <row r="19" spans="1:2" ht="56.25">
      <c r="A19" s="24" t="s">
        <v>60</v>
      </c>
      <c r="B19" s="25" t="s">
        <v>73</v>
      </c>
    </row>
    <row r="20" spans="1:2" ht="37.5">
      <c r="A20" s="24" t="s">
        <v>60</v>
      </c>
      <c r="B20" s="25" t="s">
        <v>74</v>
      </c>
    </row>
    <row r="21" spans="1:2" ht="56.25">
      <c r="A21" s="24" t="s">
        <v>60</v>
      </c>
      <c r="B21" s="25" t="s">
        <v>75</v>
      </c>
    </row>
    <row r="22" spans="1:2">
      <c r="A22" s="26" t="s">
        <v>60</v>
      </c>
      <c r="B22" s="27" t="s">
        <v>76</v>
      </c>
    </row>
  </sheetData>
  <mergeCells count="1">
    <mergeCell ref="A1:B1"/>
  </mergeCells>
  <pageMargins left="0.511811024" right="0.511811024" top="0.78740157500000008" bottom="0.78740157500000008" header="0.31496062000000008" footer="0.31496062000000008"/>
  <pageSetup paperSize="9" orientation="portrait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"/>
  <sheetViews>
    <sheetView view="pageBreakPreview" workbookViewId="0">
      <selection activeCell="L5" sqref="L5"/>
    </sheetView>
  </sheetViews>
  <sheetFormatPr defaultColWidth="9.140625" defaultRowHeight="15.75"/>
  <cols>
    <col min="1" max="1" width="7" style="28" customWidth="1"/>
    <col min="2" max="2" width="8.42578125" style="28" customWidth="1"/>
    <col min="3" max="3" width="49.28515625" style="29" customWidth="1"/>
    <col min="4" max="4" width="9" style="29" customWidth="1"/>
    <col min="5" max="5" width="22" style="29" customWidth="1"/>
    <col min="6" max="6" width="13.7109375" style="30" customWidth="1"/>
    <col min="7" max="7" width="9" style="28" customWidth="1"/>
    <col min="8" max="8" width="13" style="31" customWidth="1"/>
    <col min="9" max="9" width="14.5703125" style="31" customWidth="1"/>
    <col min="10" max="10" width="16.28515625" style="31" customWidth="1"/>
    <col min="11" max="11" width="7.140625" style="32" customWidth="1"/>
    <col min="12" max="12" width="10.7109375" style="30" customWidth="1"/>
    <col min="13" max="13" width="8" style="28" customWidth="1"/>
    <col min="14" max="14" width="8.140625" style="28" customWidth="1"/>
    <col min="15" max="15" width="10.7109375" style="28" customWidth="1"/>
    <col min="16" max="16" width="6.7109375" style="28" customWidth="1"/>
    <col min="17" max="17" width="12.7109375" style="28" customWidth="1"/>
    <col min="18" max="16384" width="9.140625" style="28"/>
  </cols>
  <sheetData>
    <row r="1" spans="1:18">
      <c r="A1" s="183" t="s">
        <v>279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8" s="33" customFormat="1" ht="21.75" customHeight="1">
      <c r="A2" s="184" t="s">
        <v>77</v>
      </c>
      <c r="B2" s="184"/>
      <c r="C2" s="184"/>
      <c r="D2" s="184"/>
      <c r="E2" s="184"/>
      <c r="F2" s="184"/>
      <c r="G2" s="184"/>
      <c r="H2" s="184"/>
      <c r="I2" s="184"/>
      <c r="J2" s="184"/>
      <c r="K2" s="34"/>
      <c r="L2" s="35"/>
      <c r="R2" s="28"/>
    </row>
    <row r="3" spans="1:18" ht="52.5" customHeight="1">
      <c r="A3" s="36" t="s">
        <v>78</v>
      </c>
      <c r="B3" s="36" t="s">
        <v>79</v>
      </c>
      <c r="C3" s="36" t="s">
        <v>80</v>
      </c>
      <c r="D3" s="36" t="s">
        <v>81</v>
      </c>
      <c r="E3" s="36" t="s">
        <v>82</v>
      </c>
      <c r="F3" s="36" t="s">
        <v>83</v>
      </c>
      <c r="G3" s="36" t="s">
        <v>84</v>
      </c>
      <c r="H3" s="36" t="s">
        <v>85</v>
      </c>
      <c r="I3" s="36" t="s">
        <v>86</v>
      </c>
      <c r="J3" s="36" t="s">
        <v>87</v>
      </c>
      <c r="K3" s="37"/>
      <c r="L3" s="38"/>
      <c r="M3" s="39"/>
      <c r="N3" s="39"/>
      <c r="O3" s="39"/>
      <c r="P3" s="39"/>
      <c r="Q3" s="39"/>
    </row>
    <row r="4" spans="1:18" ht="109.5" customHeight="1">
      <c r="A4" s="185">
        <v>1</v>
      </c>
      <c r="B4" s="187">
        <v>24015</v>
      </c>
      <c r="C4" s="189" t="s">
        <v>88</v>
      </c>
      <c r="D4" s="40" t="s">
        <v>89</v>
      </c>
      <c r="E4" s="41" t="s">
        <v>90</v>
      </c>
      <c r="F4" s="42" t="s">
        <v>91</v>
      </c>
      <c r="G4" s="43">
        <v>1</v>
      </c>
      <c r="H4" s="44">
        <f>'Vigilante diurno (ARM.)'!E107</f>
        <v>13989.9</v>
      </c>
      <c r="I4" s="44">
        <f>H4*G4</f>
        <v>13989.9</v>
      </c>
      <c r="J4" s="44">
        <f>I4*12</f>
        <v>167878.8</v>
      </c>
      <c r="K4" s="37"/>
      <c r="L4" s="38"/>
      <c r="M4" s="39"/>
      <c r="N4" s="39"/>
      <c r="O4" s="39"/>
      <c r="P4" s="39"/>
      <c r="Q4" s="39"/>
    </row>
    <row r="5" spans="1:18" s="33" customFormat="1" ht="150.75" customHeight="1">
      <c r="A5" s="186"/>
      <c r="B5" s="188"/>
      <c r="C5" s="190"/>
      <c r="D5" s="40" t="s">
        <v>92</v>
      </c>
      <c r="E5" s="45" t="s">
        <v>93</v>
      </c>
      <c r="F5" s="46" t="s">
        <v>94</v>
      </c>
      <c r="G5" s="46">
        <v>1</v>
      </c>
      <c r="H5" s="47">
        <f>'Vigilante noturno (ARM.) (2)'!E108</f>
        <v>15608.58</v>
      </c>
      <c r="I5" s="47">
        <f t="shared" ref="I5" si="0">H5*G5</f>
        <v>15608.58</v>
      </c>
      <c r="J5" s="47">
        <f>I5*12</f>
        <v>187302.96</v>
      </c>
      <c r="K5" s="48"/>
      <c r="L5" s="49"/>
      <c r="M5" s="48"/>
      <c r="N5" s="48"/>
      <c r="O5" s="48"/>
      <c r="P5" s="48"/>
      <c r="Q5" s="49"/>
      <c r="R5" s="50"/>
    </row>
    <row r="6" spans="1:18" ht="21.75" customHeight="1">
      <c r="A6" s="178" t="s">
        <v>95</v>
      </c>
      <c r="B6" s="178"/>
      <c r="C6" s="178"/>
      <c r="D6" s="178"/>
      <c r="E6" s="178"/>
      <c r="F6" s="178"/>
      <c r="G6" s="178"/>
      <c r="H6" s="178"/>
      <c r="I6" s="51">
        <f>SUM(I4:I5)</f>
        <v>29598.48</v>
      </c>
      <c r="J6" s="51">
        <f>SUM(J4:J5)</f>
        <v>355181.76</v>
      </c>
    </row>
    <row r="7" spans="1:18">
      <c r="A7" s="179"/>
      <c r="B7" s="179"/>
      <c r="C7" s="179"/>
      <c r="D7" s="179"/>
      <c r="E7" s="179"/>
      <c r="F7" s="179"/>
      <c r="G7" s="179"/>
      <c r="H7" s="179"/>
      <c r="I7" s="179"/>
      <c r="J7" s="179"/>
    </row>
    <row r="8" spans="1:18" ht="15.75" customHeight="1">
      <c r="A8" s="180" t="s">
        <v>96</v>
      </c>
      <c r="B8" s="181"/>
      <c r="C8" s="181"/>
      <c r="D8" s="181"/>
      <c r="E8" s="181"/>
      <c r="F8" s="181"/>
      <c r="G8" s="181"/>
      <c r="H8" s="182"/>
      <c r="I8" s="52">
        <f>I6</f>
        <v>29598.48</v>
      </c>
      <c r="J8" s="53">
        <f>J6</f>
        <v>355181.76</v>
      </c>
    </row>
  </sheetData>
  <mergeCells count="8">
    <mergeCell ref="A6:H6"/>
    <mergeCell ref="A7:J7"/>
    <mergeCell ref="A8:H8"/>
    <mergeCell ref="A1:J1"/>
    <mergeCell ref="A2:J2"/>
    <mergeCell ref="A4:A5"/>
    <mergeCell ref="B4:B5"/>
    <mergeCell ref="C4:C5"/>
  </mergeCells>
  <pageMargins left="0.51181102362204722" right="0.51181102362204722" top="1.1811023622047248" bottom="1.1811023622047248" header="0.31496062992125984" footer="0.31496062992125984"/>
  <pageSetup paperSize="9" scale="44" orientation="portrait" r:id="rId1"/>
  <headerFooter scaleWithDoc="0"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7"/>
  <sheetViews>
    <sheetView topLeftCell="A88" zoomScale="120" workbookViewId="0">
      <selection activeCell="E103" sqref="E103"/>
    </sheetView>
  </sheetViews>
  <sheetFormatPr defaultRowHeight="15"/>
  <cols>
    <col min="1" max="1" width="11.140625" customWidth="1"/>
    <col min="2" max="2" width="47.42578125" customWidth="1"/>
    <col min="3" max="3" width="27.140625" customWidth="1"/>
    <col min="4" max="4" width="22.140625" customWidth="1"/>
    <col min="5" max="5" width="24.42578125" customWidth="1"/>
  </cols>
  <sheetData>
    <row r="1" spans="1:5" ht="21">
      <c r="A1" s="191" t="s">
        <v>97</v>
      </c>
      <c r="B1" s="191"/>
      <c r="C1" s="191"/>
      <c r="D1" s="191"/>
      <c r="E1" s="191"/>
    </row>
    <row r="2" spans="1:5">
      <c r="A2" s="192" t="s">
        <v>98</v>
      </c>
      <c r="B2" s="192"/>
      <c r="C2" s="192"/>
      <c r="D2" s="192"/>
      <c r="E2" s="192"/>
    </row>
    <row r="3" spans="1:5">
      <c r="A3" s="54" t="s">
        <v>99</v>
      </c>
      <c r="B3" s="55" t="s">
        <v>100</v>
      </c>
      <c r="C3" s="193" t="s">
        <v>282</v>
      </c>
      <c r="D3" s="193"/>
      <c r="E3" s="193"/>
    </row>
    <row r="4" spans="1:5">
      <c r="A4" s="54" t="s">
        <v>101</v>
      </c>
      <c r="B4" s="55" t="s">
        <v>80</v>
      </c>
      <c r="C4" s="194" t="s">
        <v>98</v>
      </c>
      <c r="D4" s="194"/>
      <c r="E4" s="194"/>
    </row>
    <row r="5" spans="1:5" ht="25.5">
      <c r="A5" s="54" t="s">
        <v>102</v>
      </c>
      <c r="B5" s="55" t="s">
        <v>103</v>
      </c>
      <c r="C5" s="194" t="s">
        <v>283</v>
      </c>
      <c r="D5" s="194"/>
      <c r="E5" s="194"/>
    </row>
    <row r="6" spans="1:5">
      <c r="A6" s="54" t="s">
        <v>104</v>
      </c>
      <c r="B6" s="55" t="s">
        <v>105</v>
      </c>
      <c r="C6" s="194">
        <v>12</v>
      </c>
      <c r="D6" s="194"/>
      <c r="E6" s="194"/>
    </row>
    <row r="7" spans="1:5">
      <c r="A7" s="195" t="s">
        <v>106</v>
      </c>
      <c r="B7" s="195"/>
      <c r="C7" s="195"/>
      <c r="D7" s="195"/>
      <c r="E7" s="195"/>
    </row>
    <row r="8" spans="1:5">
      <c r="A8" s="196" t="s">
        <v>107</v>
      </c>
      <c r="B8" s="196"/>
      <c r="C8" s="196"/>
      <c r="D8" s="196"/>
      <c r="E8" s="196"/>
    </row>
    <row r="9" spans="1:5">
      <c r="A9" s="196" t="s">
        <v>108</v>
      </c>
      <c r="B9" s="195"/>
      <c r="C9" s="195"/>
      <c r="D9" s="195"/>
      <c r="E9" s="195"/>
    </row>
    <row r="10" spans="1:5" ht="25.5">
      <c r="A10" s="54">
        <v>1</v>
      </c>
      <c r="B10" s="56" t="s">
        <v>109</v>
      </c>
      <c r="C10" s="197" t="s">
        <v>98</v>
      </c>
      <c r="D10" s="197"/>
      <c r="E10" s="197"/>
    </row>
    <row r="11" spans="1:5">
      <c r="A11" s="54">
        <v>2</v>
      </c>
      <c r="B11" s="198" t="s">
        <v>110</v>
      </c>
      <c r="C11" s="198"/>
      <c r="D11" s="198"/>
      <c r="E11" s="57">
        <v>1803.43</v>
      </c>
    </row>
    <row r="12" spans="1:5">
      <c r="A12" s="54">
        <v>3</v>
      </c>
      <c r="B12" s="56" t="s">
        <v>111</v>
      </c>
      <c r="C12" s="197" t="s">
        <v>112</v>
      </c>
      <c r="D12" s="197"/>
      <c r="E12" s="197"/>
    </row>
    <row r="13" spans="1:5">
      <c r="A13" s="54">
        <v>4</v>
      </c>
      <c r="B13" s="199" t="s">
        <v>113</v>
      </c>
      <c r="C13" s="199"/>
      <c r="D13" s="199"/>
      <c r="E13" s="58">
        <v>45717</v>
      </c>
    </row>
    <row r="14" spans="1:5">
      <c r="A14" s="200" t="s">
        <v>114</v>
      </c>
      <c r="B14" s="200"/>
      <c r="C14" s="200"/>
      <c r="D14" s="200"/>
      <c r="E14" s="200"/>
    </row>
    <row r="15" spans="1:5">
      <c r="A15" s="59">
        <v>1</v>
      </c>
      <c r="B15" s="201" t="s">
        <v>115</v>
      </c>
      <c r="C15" s="202"/>
      <c r="D15" s="202"/>
      <c r="E15" s="61" t="s">
        <v>116</v>
      </c>
    </row>
    <row r="16" spans="1:5">
      <c r="A16" s="62" t="s">
        <v>99</v>
      </c>
      <c r="B16" s="63" t="s">
        <v>117</v>
      </c>
      <c r="C16" s="203"/>
      <c r="D16" s="203"/>
      <c r="E16" s="65">
        <f>+E11</f>
        <v>1803.43</v>
      </c>
    </row>
    <row r="17" spans="1:5">
      <c r="A17" s="62" t="s">
        <v>101</v>
      </c>
      <c r="B17" s="66" t="s">
        <v>118</v>
      </c>
      <c r="C17" s="67">
        <v>0</v>
      </c>
      <c r="D17" s="68">
        <v>1302</v>
      </c>
      <c r="E17" s="69">
        <f>D17*C17</f>
        <v>0</v>
      </c>
    </row>
    <row r="18" spans="1:5" ht="17.25" customHeight="1">
      <c r="A18" s="62" t="s">
        <v>102</v>
      </c>
      <c r="B18" s="63" t="s">
        <v>119</v>
      </c>
      <c r="C18" s="204">
        <v>0</v>
      </c>
      <c r="D18" s="205"/>
      <c r="E18" s="69">
        <f>0</f>
        <v>0</v>
      </c>
    </row>
    <row r="19" spans="1:5" ht="14.25" customHeight="1">
      <c r="A19" s="62" t="s">
        <v>120</v>
      </c>
      <c r="B19" s="206" t="s">
        <v>121</v>
      </c>
      <c r="C19" s="207"/>
      <c r="D19" s="207"/>
      <c r="E19" s="70">
        <f>SUM(E16:E18)</f>
        <v>1803.43</v>
      </c>
    </row>
    <row r="20" spans="1:5" ht="19.5" customHeight="1">
      <c r="A20" s="62" t="s">
        <v>104</v>
      </c>
      <c r="B20" s="63" t="s">
        <v>122</v>
      </c>
      <c r="C20" s="71">
        <v>0.3</v>
      </c>
      <c r="D20" s="72">
        <f>E19</f>
        <v>1803.43</v>
      </c>
      <c r="E20" s="69">
        <f>E19*C20</f>
        <v>541.03</v>
      </c>
    </row>
    <row r="21" spans="1:5">
      <c r="A21" s="208" t="s">
        <v>123</v>
      </c>
      <c r="B21" s="208"/>
      <c r="C21" s="208"/>
      <c r="D21" s="208"/>
      <c r="E21" s="73">
        <f>SUM(E19:E20)</f>
        <v>2344.46</v>
      </c>
    </row>
    <row r="22" spans="1:5">
      <c r="A22" s="200" t="s">
        <v>124</v>
      </c>
      <c r="B22" s="200"/>
      <c r="C22" s="200"/>
      <c r="D22" s="200"/>
      <c r="E22" s="200"/>
    </row>
    <row r="23" spans="1:5">
      <c r="A23" s="59" t="s">
        <v>125</v>
      </c>
      <c r="B23" s="201" t="s">
        <v>126</v>
      </c>
      <c r="C23" s="202"/>
      <c r="D23" s="202"/>
      <c r="E23" s="61" t="s">
        <v>116</v>
      </c>
    </row>
    <row r="24" spans="1:5">
      <c r="A24" s="74" t="s">
        <v>99</v>
      </c>
      <c r="B24" s="209" t="s">
        <v>127</v>
      </c>
      <c r="C24" s="209"/>
      <c r="D24" s="75">
        <f>1/12</f>
        <v>8.3299999999999999E-2</v>
      </c>
      <c r="E24" s="76">
        <f t="shared" ref="E24:E25" si="0">ROUND(+$E$21*D24,2)</f>
        <v>195.29</v>
      </c>
    </row>
    <row r="25" spans="1:5">
      <c r="A25" s="74" t="s">
        <v>101</v>
      </c>
      <c r="B25" s="209" t="s">
        <v>128</v>
      </c>
      <c r="C25" s="209"/>
      <c r="D25" s="75">
        <v>0.1111</v>
      </c>
      <c r="E25" s="76">
        <f t="shared" si="0"/>
        <v>260.47000000000003</v>
      </c>
    </row>
    <row r="26" spans="1:5">
      <c r="A26" s="208" t="s">
        <v>129</v>
      </c>
      <c r="B26" s="208"/>
      <c r="C26" s="210"/>
      <c r="D26" s="77">
        <f>SUM(D24:D25)</f>
        <v>0.19439999999999999</v>
      </c>
      <c r="E26" s="73">
        <f>SUM(E24:E25)</f>
        <v>455.76</v>
      </c>
    </row>
    <row r="27" spans="1:5" ht="29.25" customHeight="1">
      <c r="A27" s="211" t="s">
        <v>130</v>
      </c>
      <c r="B27" s="211"/>
      <c r="C27" s="211"/>
      <c r="D27" s="211"/>
      <c r="E27" s="211"/>
    </row>
    <row r="28" spans="1:5">
      <c r="A28" s="59" t="s">
        <v>131</v>
      </c>
      <c r="B28" s="201" t="s">
        <v>132</v>
      </c>
      <c r="C28" s="202"/>
      <c r="D28" s="202"/>
      <c r="E28" s="61" t="s">
        <v>116</v>
      </c>
    </row>
    <row r="29" spans="1:5">
      <c r="A29" s="74" t="s">
        <v>99</v>
      </c>
      <c r="B29" s="199" t="s">
        <v>133</v>
      </c>
      <c r="C29" s="199"/>
      <c r="D29" s="75">
        <v>0.2</v>
      </c>
      <c r="E29" s="76">
        <f>(E21+E26)*D29</f>
        <v>560.04</v>
      </c>
    </row>
    <row r="30" spans="1:5">
      <c r="A30" s="74" t="s">
        <v>101</v>
      </c>
      <c r="B30" s="199" t="s">
        <v>134</v>
      </c>
      <c r="C30" s="199"/>
      <c r="D30" s="75">
        <v>1.4999999999999999E-2</v>
      </c>
      <c r="E30" s="76">
        <f>(E21+E26)*D30</f>
        <v>42</v>
      </c>
    </row>
    <row r="31" spans="1:5">
      <c r="A31" s="74" t="s">
        <v>102</v>
      </c>
      <c r="B31" s="199" t="s">
        <v>135</v>
      </c>
      <c r="C31" s="199"/>
      <c r="D31" s="75">
        <v>0.01</v>
      </c>
      <c r="E31" s="76">
        <f>(E21+E26)*D31</f>
        <v>28</v>
      </c>
    </row>
    <row r="32" spans="1:5">
      <c r="A32" s="74" t="s">
        <v>104</v>
      </c>
      <c r="B32" s="199" t="s">
        <v>136</v>
      </c>
      <c r="C32" s="199"/>
      <c r="D32" s="75">
        <v>2E-3</v>
      </c>
      <c r="E32" s="76">
        <f>(E21+E26)*D32</f>
        <v>5.6</v>
      </c>
    </row>
    <row r="33" spans="1:5">
      <c r="A33" s="74" t="s">
        <v>137</v>
      </c>
      <c r="B33" s="199" t="s">
        <v>138</v>
      </c>
      <c r="C33" s="199"/>
      <c r="D33" s="75">
        <v>2.5000000000000001E-2</v>
      </c>
      <c r="E33" s="76">
        <f>(E21+E26)*D33</f>
        <v>70.010000000000005</v>
      </c>
    </row>
    <row r="34" spans="1:5">
      <c r="A34" s="74" t="s">
        <v>139</v>
      </c>
      <c r="B34" s="199" t="s">
        <v>140</v>
      </c>
      <c r="C34" s="199"/>
      <c r="D34" s="75">
        <v>0.08</v>
      </c>
      <c r="E34" s="76">
        <f>(E21+E26)*D34</f>
        <v>224.02</v>
      </c>
    </row>
    <row r="35" spans="1:5">
      <c r="A35" s="74" t="s">
        <v>141</v>
      </c>
      <c r="B35" s="199" t="s">
        <v>142</v>
      </c>
      <c r="C35" s="199"/>
      <c r="D35" s="75">
        <v>2.8000000000000001E-2</v>
      </c>
      <c r="E35" s="76">
        <f>(E21+E26)*D35</f>
        <v>78.41</v>
      </c>
    </row>
    <row r="36" spans="1:5">
      <c r="A36" s="78" t="s">
        <v>143</v>
      </c>
      <c r="B36" s="212" t="s">
        <v>144</v>
      </c>
      <c r="C36" s="212"/>
      <c r="D36" s="79">
        <v>6.0000000000000001E-3</v>
      </c>
      <c r="E36" s="80">
        <f>(E21+E26)*D36</f>
        <v>16.8</v>
      </c>
    </row>
    <row r="37" spans="1:5">
      <c r="A37" s="208" t="s">
        <v>129</v>
      </c>
      <c r="B37" s="208"/>
      <c r="C37" s="210"/>
      <c r="D37" s="77">
        <f>SUM(D29:D36)</f>
        <v>0.36599999999999999</v>
      </c>
      <c r="E37" s="73">
        <f>SUM(E29:E36)</f>
        <v>1024.8800000000001</v>
      </c>
    </row>
    <row r="38" spans="1:5">
      <c r="A38" s="59" t="s">
        <v>145</v>
      </c>
      <c r="B38" s="201" t="s">
        <v>146</v>
      </c>
      <c r="C38" s="202"/>
      <c r="D38" s="202"/>
      <c r="E38" s="61" t="s">
        <v>116</v>
      </c>
    </row>
    <row r="39" spans="1:5">
      <c r="A39" s="74" t="s">
        <v>99</v>
      </c>
      <c r="B39" s="209" t="s">
        <v>147</v>
      </c>
      <c r="C39" s="209"/>
      <c r="D39" s="81">
        <v>6</v>
      </c>
      <c r="E39" s="82">
        <f>D39*32-6/100*E11</f>
        <v>83.79</v>
      </c>
    </row>
    <row r="40" spans="1:5">
      <c r="A40" s="74" t="s">
        <v>101</v>
      </c>
      <c r="B40" s="209" t="s">
        <v>148</v>
      </c>
      <c r="C40" s="209"/>
      <c r="D40" s="83">
        <v>44</v>
      </c>
      <c r="E40" s="65">
        <f>(D40*15.21)-(D40*15.21*1%)</f>
        <v>662.55</v>
      </c>
    </row>
    <row r="41" spans="1:5">
      <c r="A41" s="74" t="s">
        <v>102</v>
      </c>
      <c r="B41" s="209" t="s">
        <v>149</v>
      </c>
      <c r="C41" s="209"/>
      <c r="D41" s="84"/>
      <c r="E41" s="65">
        <f>((E11*16%) -(E11*1%))/12</f>
        <v>22.54</v>
      </c>
    </row>
    <row r="42" spans="1:5">
      <c r="A42" s="74" t="s">
        <v>104</v>
      </c>
      <c r="B42" s="209" t="s">
        <v>150</v>
      </c>
      <c r="C42" s="209"/>
      <c r="D42" s="85">
        <v>15.06</v>
      </c>
      <c r="E42" s="82">
        <f t="shared" ref="E42" si="1">D42</f>
        <v>15.06</v>
      </c>
    </row>
    <row r="43" spans="1:5">
      <c r="A43" s="74" t="s">
        <v>137</v>
      </c>
      <c r="B43" s="209" t="s">
        <v>151</v>
      </c>
      <c r="C43" s="209"/>
      <c r="D43" s="85">
        <v>16.5</v>
      </c>
      <c r="E43" s="82">
        <f t="shared" ref="E43" si="2">D43</f>
        <v>16.5</v>
      </c>
    </row>
    <row r="44" spans="1:5" ht="15.6" customHeight="1">
      <c r="A44" s="208" t="s">
        <v>152</v>
      </c>
      <c r="B44" s="208"/>
      <c r="C44" s="208"/>
      <c r="D44" s="208"/>
      <c r="E44" s="73">
        <f>SUM(E39:E43)</f>
        <v>800.44</v>
      </c>
    </row>
    <row r="45" spans="1:5">
      <c r="A45" s="200" t="s">
        <v>153</v>
      </c>
      <c r="B45" s="200"/>
      <c r="C45" s="200"/>
      <c r="D45" s="200"/>
      <c r="E45" s="76"/>
    </row>
    <row r="46" spans="1:5">
      <c r="A46" s="59" t="s">
        <v>125</v>
      </c>
      <c r="B46" s="201" t="s">
        <v>154</v>
      </c>
      <c r="C46" s="202"/>
      <c r="D46" s="202"/>
      <c r="E46" s="86">
        <f>E26</f>
        <v>455.76</v>
      </c>
    </row>
    <row r="47" spans="1:5">
      <c r="A47" s="59" t="s">
        <v>131</v>
      </c>
      <c r="B47" s="209" t="s">
        <v>155</v>
      </c>
      <c r="C47" s="209"/>
      <c r="D47" s="209"/>
      <c r="E47" s="76">
        <f>E37</f>
        <v>1024.8800000000001</v>
      </c>
    </row>
    <row r="48" spans="1:5">
      <c r="A48" s="59" t="s">
        <v>145</v>
      </c>
      <c r="B48" s="209" t="s">
        <v>156</v>
      </c>
      <c r="C48" s="209"/>
      <c r="D48" s="209"/>
      <c r="E48" s="76">
        <f>E44</f>
        <v>800.44</v>
      </c>
    </row>
    <row r="49" spans="1:6">
      <c r="A49" s="208" t="s">
        <v>129</v>
      </c>
      <c r="B49" s="208"/>
      <c r="C49" s="210"/>
      <c r="D49" s="87" t="s">
        <v>120</v>
      </c>
      <c r="E49" s="73">
        <f>SUM(E46:E48)</f>
        <v>2281.08</v>
      </c>
    </row>
    <row r="50" spans="1:6">
      <c r="A50" s="200" t="s">
        <v>157</v>
      </c>
      <c r="B50" s="200"/>
      <c r="C50" s="200"/>
      <c r="D50" s="200"/>
      <c r="E50" s="200"/>
    </row>
    <row r="51" spans="1:6">
      <c r="A51" s="59" t="s">
        <v>158</v>
      </c>
      <c r="B51" s="201" t="s">
        <v>159</v>
      </c>
      <c r="C51" s="202"/>
      <c r="D51" s="202"/>
      <c r="E51" s="61" t="s">
        <v>116</v>
      </c>
    </row>
    <row r="52" spans="1:6">
      <c r="A52" s="74" t="s">
        <v>99</v>
      </c>
      <c r="B52" s="209" t="s">
        <v>160</v>
      </c>
      <c r="C52" s="209"/>
      <c r="D52" s="75">
        <v>4.5999999999999999E-3</v>
      </c>
      <c r="E52" s="76">
        <f t="shared" ref="E52:E56" si="3">ROUND(+D52*$E$21,2)</f>
        <v>10.78</v>
      </c>
    </row>
    <row r="53" spans="1:6">
      <c r="A53" s="74" t="s">
        <v>101</v>
      </c>
      <c r="B53" s="209" t="s">
        <v>161</v>
      </c>
      <c r="C53" s="209"/>
      <c r="D53" s="75">
        <f>D34*D52</f>
        <v>4.0000000000000002E-4</v>
      </c>
      <c r="E53" s="76">
        <f t="shared" si="3"/>
        <v>0.94</v>
      </c>
    </row>
    <row r="54" spans="1:6">
      <c r="A54" s="74" t="s">
        <v>102</v>
      </c>
      <c r="B54" s="199" t="s">
        <v>162</v>
      </c>
      <c r="C54" s="199"/>
      <c r="D54" s="75">
        <v>1.9400000000000001E-2</v>
      </c>
      <c r="E54" s="76">
        <f t="shared" si="3"/>
        <v>45.48</v>
      </c>
    </row>
    <row r="55" spans="1:6">
      <c r="A55" s="74" t="s">
        <v>104</v>
      </c>
      <c r="B55" s="209" t="s">
        <v>163</v>
      </c>
      <c r="C55" s="209"/>
      <c r="D55" s="75">
        <f>D37*D54</f>
        <v>7.1000000000000004E-3</v>
      </c>
      <c r="E55" s="76">
        <f>ROUND(+D55*$E$21,2)</f>
        <v>16.649999999999999</v>
      </c>
    </row>
    <row r="56" spans="1:6" ht="33" customHeight="1">
      <c r="A56" s="74" t="s">
        <v>137</v>
      </c>
      <c r="B56" s="209" t="s">
        <v>164</v>
      </c>
      <c r="C56" s="209"/>
      <c r="D56" s="75">
        <f>4%</f>
        <v>0.04</v>
      </c>
      <c r="E56" s="76">
        <f t="shared" si="3"/>
        <v>93.78</v>
      </c>
    </row>
    <row r="57" spans="1:6">
      <c r="A57" s="208" t="s">
        <v>129</v>
      </c>
      <c r="B57" s="208"/>
      <c r="C57" s="208"/>
      <c r="D57" s="88">
        <f>SUM(D52:D56)</f>
        <v>7.1499999999999994E-2</v>
      </c>
      <c r="E57" s="73">
        <f>SUM(E52:E56)</f>
        <v>167.63</v>
      </c>
    </row>
    <row r="58" spans="1:6">
      <c r="A58" s="200" t="s">
        <v>165</v>
      </c>
      <c r="B58" s="200"/>
      <c r="C58" s="200"/>
      <c r="D58" s="200"/>
      <c r="E58" s="200"/>
    </row>
    <row r="59" spans="1:6">
      <c r="A59" s="59" t="s">
        <v>166</v>
      </c>
      <c r="B59" s="200" t="s">
        <v>167</v>
      </c>
      <c r="C59" s="200"/>
      <c r="D59" s="200"/>
      <c r="E59" s="61" t="s">
        <v>116</v>
      </c>
    </row>
    <row r="60" spans="1:6">
      <c r="A60" s="154" t="s">
        <v>99</v>
      </c>
      <c r="B60" s="213" t="s">
        <v>168</v>
      </c>
      <c r="C60" s="213"/>
      <c r="D60" s="155">
        <v>9.2999999999999992E-3</v>
      </c>
      <c r="E60" s="156">
        <f>(E21+E49+E57+E77)*D60</f>
        <v>45.41</v>
      </c>
    </row>
    <row r="61" spans="1:6">
      <c r="A61" s="154" t="s">
        <v>101</v>
      </c>
      <c r="B61" s="213" t="s">
        <v>169</v>
      </c>
      <c r="C61" s="213"/>
      <c r="D61" s="155">
        <v>1.66E-2</v>
      </c>
      <c r="E61" s="156">
        <f>(E21+E49+E57+E77)*D61</f>
        <v>81.05</v>
      </c>
      <c r="F61" t="s">
        <v>170</v>
      </c>
    </row>
    <row r="62" spans="1:6">
      <c r="A62" s="154" t="s">
        <v>102</v>
      </c>
      <c r="B62" s="213" t="s">
        <v>171</v>
      </c>
      <c r="C62" s="213"/>
      <c r="D62" s="155">
        <v>8.0000000000000004E-4</v>
      </c>
      <c r="E62" s="156">
        <f>(E21+E49+E57+E77)*D62</f>
        <v>3.91</v>
      </c>
      <c r="F62" t="s">
        <v>172</v>
      </c>
    </row>
    <row r="63" spans="1:6">
      <c r="A63" s="154" t="s">
        <v>104</v>
      </c>
      <c r="B63" s="213" t="s">
        <v>173</v>
      </c>
      <c r="C63" s="213"/>
      <c r="D63" s="155">
        <f>(1/30)*(1/12)</f>
        <v>2.8E-3</v>
      </c>
      <c r="E63" s="156">
        <f>(E21+E49+E57+E77)*D63</f>
        <v>13.67</v>
      </c>
      <c r="F63" t="s">
        <v>174</v>
      </c>
    </row>
    <row r="64" spans="1:6">
      <c r="A64" s="154" t="s">
        <v>137</v>
      </c>
      <c r="B64" s="213" t="s">
        <v>175</v>
      </c>
      <c r="C64" s="213"/>
      <c r="D64" s="155">
        <v>2.5000000000000001E-3</v>
      </c>
      <c r="E64" s="156">
        <f>(E21+E49+E57+E77)*D64</f>
        <v>12.21</v>
      </c>
      <c r="F64" t="s">
        <v>278</v>
      </c>
    </row>
    <row r="65" spans="1:7">
      <c r="A65" s="214" t="s">
        <v>178</v>
      </c>
      <c r="B65" s="214"/>
      <c r="C65" s="214"/>
      <c r="D65" s="157">
        <f>SUM(D60:D64)</f>
        <v>3.2000000000000001E-2</v>
      </c>
      <c r="E65" s="158">
        <f>SUM(E60:E64)</f>
        <v>156.25</v>
      </c>
    </row>
    <row r="66" spans="1:7">
      <c r="A66" s="215"/>
      <c r="B66" s="215"/>
      <c r="C66" s="215"/>
      <c r="D66" s="215"/>
      <c r="E66" s="156"/>
    </row>
    <row r="67" spans="1:7">
      <c r="A67" s="159" t="s">
        <v>120</v>
      </c>
      <c r="B67" s="216" t="s">
        <v>179</v>
      </c>
      <c r="C67" s="217"/>
      <c r="D67" s="217"/>
      <c r="E67" s="160" t="s">
        <v>116</v>
      </c>
    </row>
    <row r="68" spans="1:7">
      <c r="A68" s="154" t="s">
        <v>99</v>
      </c>
      <c r="B68" s="213" t="s">
        <v>180</v>
      </c>
      <c r="C68" s="213"/>
      <c r="D68" s="213"/>
      <c r="E68" s="156">
        <f>(8.2*1.5)*(15.21)</f>
        <v>187.08</v>
      </c>
      <c r="G68" s="89"/>
    </row>
    <row r="69" spans="1:7">
      <c r="A69" s="214" t="s">
        <v>129</v>
      </c>
      <c r="B69" s="214"/>
      <c r="C69" s="214"/>
      <c r="D69" s="161"/>
      <c r="E69" s="158">
        <f>E68</f>
        <v>187.08</v>
      </c>
    </row>
    <row r="70" spans="1:7">
      <c r="A70" s="215" t="s">
        <v>181</v>
      </c>
      <c r="B70" s="215"/>
      <c r="C70" s="215"/>
      <c r="D70" s="215"/>
      <c r="E70" s="156"/>
    </row>
    <row r="71" spans="1:7">
      <c r="A71" s="159">
        <v>4</v>
      </c>
      <c r="B71" s="216" t="s">
        <v>182</v>
      </c>
      <c r="C71" s="217"/>
      <c r="D71" s="217"/>
      <c r="E71" s="160" t="s">
        <v>116</v>
      </c>
    </row>
    <row r="72" spans="1:7">
      <c r="A72" s="154" t="s">
        <v>166</v>
      </c>
      <c r="B72" s="213" t="s">
        <v>167</v>
      </c>
      <c r="C72" s="213"/>
      <c r="D72" s="155">
        <f>D65</f>
        <v>3.2000000000000001E-2</v>
      </c>
      <c r="E72" s="156">
        <f>E65</f>
        <v>156.25</v>
      </c>
    </row>
    <row r="73" spans="1:7">
      <c r="A73" s="154" t="s">
        <v>183</v>
      </c>
      <c r="B73" s="213" t="s">
        <v>179</v>
      </c>
      <c r="C73" s="213"/>
      <c r="D73" s="155"/>
      <c r="E73" s="156">
        <f>E69</f>
        <v>187.08</v>
      </c>
    </row>
    <row r="74" spans="1:7">
      <c r="A74" s="208" t="s">
        <v>184</v>
      </c>
      <c r="B74" s="208"/>
      <c r="C74" s="208"/>
      <c r="D74" s="88">
        <f>SUM(D69:D73)</f>
        <v>3.2000000000000001E-2</v>
      </c>
      <c r="E74" s="73">
        <f>SUM(E72+E73)</f>
        <v>343.33</v>
      </c>
    </row>
    <row r="75" spans="1:7">
      <c r="A75" s="200" t="s">
        <v>185</v>
      </c>
      <c r="B75" s="200"/>
      <c r="C75" s="200"/>
      <c r="D75" s="200"/>
      <c r="E75" s="200"/>
    </row>
    <row r="76" spans="1:7">
      <c r="A76" s="59">
        <v>5</v>
      </c>
      <c r="B76" s="201" t="s">
        <v>186</v>
      </c>
      <c r="C76" s="202"/>
      <c r="D76" s="202"/>
      <c r="E76" s="61" t="s">
        <v>116</v>
      </c>
    </row>
    <row r="77" spans="1:7">
      <c r="A77" s="74" t="s">
        <v>99</v>
      </c>
      <c r="B77" s="209" t="s">
        <v>187</v>
      </c>
      <c r="C77" s="209"/>
      <c r="D77" s="209"/>
      <c r="E77" s="76">
        <f>'Material e uniforme'!H13</f>
        <v>89.62</v>
      </c>
    </row>
    <row r="78" spans="1:7">
      <c r="A78" s="74" t="s">
        <v>101</v>
      </c>
      <c r="B78" s="209" t="s">
        <v>188</v>
      </c>
      <c r="C78" s="209"/>
      <c r="D78" s="209"/>
      <c r="E78" s="76">
        <f>'Material e uniforme'!H24</f>
        <v>9.74</v>
      </c>
    </row>
    <row r="79" spans="1:7">
      <c r="A79" s="74" t="s">
        <v>102</v>
      </c>
      <c r="B79" s="209" t="s">
        <v>189</v>
      </c>
      <c r="C79" s="209"/>
      <c r="D79" s="209"/>
      <c r="E79" s="76">
        <f>'Material e uniforme'!H37</f>
        <v>97.69</v>
      </c>
    </row>
    <row r="80" spans="1:7">
      <c r="A80" s="74" t="s">
        <v>104</v>
      </c>
      <c r="B80" s="209" t="s">
        <v>190</v>
      </c>
      <c r="C80" s="209"/>
      <c r="D80" s="209"/>
      <c r="E80" s="76">
        <v>39.799999999999997</v>
      </c>
    </row>
    <row r="81" spans="1:5">
      <c r="A81" s="208" t="s">
        <v>191</v>
      </c>
      <c r="B81" s="208"/>
      <c r="C81" s="208"/>
      <c r="D81" s="88" t="s">
        <v>120</v>
      </c>
      <c r="E81" s="73">
        <f>SUM(E77:E80)</f>
        <v>236.85</v>
      </c>
    </row>
    <row r="82" spans="1:5">
      <c r="A82" s="219" t="s">
        <v>192</v>
      </c>
      <c r="B82" s="219"/>
      <c r="C82" s="219" t="s">
        <v>129</v>
      </c>
      <c r="D82" s="219"/>
      <c r="E82" s="76">
        <f>SUM(E21+E49+E57+E74+E81)</f>
        <v>5373.35</v>
      </c>
    </row>
    <row r="83" spans="1:5" ht="30.75" customHeight="1">
      <c r="A83" s="220" t="s">
        <v>193</v>
      </c>
      <c r="B83" s="220"/>
      <c r="C83" s="220"/>
      <c r="D83" s="90"/>
      <c r="E83" s="73">
        <f>E82</f>
        <v>5373.35</v>
      </c>
    </row>
    <row r="84" spans="1:5">
      <c r="A84" s="200" t="s">
        <v>194</v>
      </c>
      <c r="B84" s="200"/>
      <c r="C84" s="200"/>
      <c r="D84" s="200"/>
      <c r="E84" s="200"/>
    </row>
    <row r="85" spans="1:5">
      <c r="A85" s="59">
        <v>6</v>
      </c>
      <c r="B85" s="201" t="s">
        <v>195</v>
      </c>
      <c r="C85" s="202"/>
      <c r="D85" s="202"/>
      <c r="E85" s="61" t="s">
        <v>116</v>
      </c>
    </row>
    <row r="86" spans="1:5">
      <c r="A86" s="59" t="s">
        <v>99</v>
      </c>
      <c r="B86" s="91" t="s">
        <v>196</v>
      </c>
      <c r="C86" s="218">
        <v>7.4999999999999997E-2</v>
      </c>
      <c r="D86" s="218"/>
      <c r="E86" s="76">
        <f>+E83*C86</f>
        <v>403</v>
      </c>
    </row>
    <row r="87" spans="1:5">
      <c r="A87" s="59" t="s">
        <v>101</v>
      </c>
      <c r="B87" s="91" t="s">
        <v>197</v>
      </c>
      <c r="C87" s="218">
        <v>0.1</v>
      </c>
      <c r="D87" s="218"/>
      <c r="E87" s="76">
        <f>C87*(+E83+E86)</f>
        <v>577.64</v>
      </c>
    </row>
    <row r="88" spans="1:5" ht="36" customHeight="1">
      <c r="A88" s="219" t="s">
        <v>102</v>
      </c>
      <c r="B88" s="223" t="s">
        <v>198</v>
      </c>
      <c r="C88" s="223"/>
      <c r="D88" s="92">
        <f>+(100-14.25)/100</f>
        <v>0.85750000000000004</v>
      </c>
      <c r="E88" s="76">
        <f>+E83+E86+E87</f>
        <v>6353.99</v>
      </c>
    </row>
    <row r="89" spans="1:5">
      <c r="A89" s="219"/>
      <c r="B89" s="60" t="s">
        <v>199</v>
      </c>
      <c r="C89" s="93"/>
      <c r="D89" s="93"/>
      <c r="E89" s="94">
        <f>+E88/D88</f>
        <v>7409.9</v>
      </c>
    </row>
    <row r="90" spans="1:5">
      <c r="A90" s="219"/>
      <c r="B90" s="60" t="s">
        <v>200</v>
      </c>
      <c r="C90" s="60"/>
      <c r="D90" s="60"/>
      <c r="E90" s="76"/>
    </row>
    <row r="91" spans="1:5">
      <c r="A91" s="219"/>
      <c r="B91" s="95" t="s">
        <v>201</v>
      </c>
      <c r="C91" s="96"/>
      <c r="D91" s="75">
        <v>6.4999999999999997E-3</v>
      </c>
      <c r="E91" s="76">
        <f>+E89*D91</f>
        <v>48.16</v>
      </c>
    </row>
    <row r="92" spans="1:5">
      <c r="A92" s="219"/>
      <c r="B92" s="95" t="s">
        <v>202</v>
      </c>
      <c r="C92" s="96"/>
      <c r="D92" s="75">
        <v>0.03</v>
      </c>
      <c r="E92" s="76">
        <f>+E89*D92</f>
        <v>222.3</v>
      </c>
    </row>
    <row r="93" spans="1:5">
      <c r="A93" s="219"/>
      <c r="B93" s="97" t="s">
        <v>203</v>
      </c>
      <c r="C93" s="98"/>
      <c r="D93" s="93"/>
      <c r="E93" s="76"/>
    </row>
    <row r="94" spans="1:5">
      <c r="A94" s="219"/>
      <c r="B94" s="97" t="s">
        <v>204</v>
      </c>
      <c r="C94" s="98"/>
      <c r="D94" s="98"/>
      <c r="E94" s="76"/>
    </row>
    <row r="95" spans="1:5">
      <c r="A95" s="219"/>
      <c r="B95" s="95" t="s">
        <v>205</v>
      </c>
      <c r="C95" s="96"/>
      <c r="D95" s="75">
        <v>0.05</v>
      </c>
      <c r="E95" s="76">
        <f>+E89*D95</f>
        <v>370.5</v>
      </c>
    </row>
    <row r="96" spans="1:5">
      <c r="A96" s="59"/>
      <c r="B96" s="93" t="s">
        <v>206</v>
      </c>
      <c r="C96" s="93"/>
      <c r="D96" s="99">
        <f>SUM(D91:D95)</f>
        <v>8.6499999999999994E-2</v>
      </c>
      <c r="E96" s="76">
        <f>SUM(E91:E95)</f>
        <v>640.96</v>
      </c>
    </row>
    <row r="97" spans="1:5">
      <c r="A97" s="208" t="s">
        <v>207</v>
      </c>
      <c r="B97" s="208"/>
      <c r="C97" s="208"/>
      <c r="D97" s="208"/>
      <c r="E97" s="73">
        <f>+E86+E87+E96</f>
        <v>1621.6</v>
      </c>
    </row>
    <row r="98" spans="1:5">
      <c r="A98" s="219" t="s">
        <v>208</v>
      </c>
      <c r="B98" s="219"/>
      <c r="C98" s="219"/>
      <c r="D98" s="219"/>
      <c r="E98" s="61" t="s">
        <v>116</v>
      </c>
    </row>
    <row r="99" spans="1:5">
      <c r="A99" s="59" t="s">
        <v>99</v>
      </c>
      <c r="B99" s="201" t="s">
        <v>209</v>
      </c>
      <c r="C99" s="201"/>
      <c r="D99" s="201"/>
      <c r="E99" s="76">
        <f>+E21</f>
        <v>2344.46</v>
      </c>
    </row>
    <row r="100" spans="1:5">
      <c r="A100" s="59" t="s">
        <v>101</v>
      </c>
      <c r="B100" s="201" t="s">
        <v>210</v>
      </c>
      <c r="C100" s="201"/>
      <c r="D100" s="201"/>
      <c r="E100" s="76">
        <f>E49</f>
        <v>2281.08</v>
      </c>
    </row>
    <row r="101" spans="1:5">
      <c r="A101" s="59" t="s">
        <v>102</v>
      </c>
      <c r="B101" s="201" t="s">
        <v>211</v>
      </c>
      <c r="C101" s="201"/>
      <c r="D101" s="201"/>
      <c r="E101" s="76">
        <f>E57</f>
        <v>167.63</v>
      </c>
    </row>
    <row r="102" spans="1:5">
      <c r="A102" s="59" t="s">
        <v>104</v>
      </c>
      <c r="B102" s="201" t="s">
        <v>212</v>
      </c>
      <c r="C102" s="201"/>
      <c r="D102" s="201"/>
      <c r="E102" s="76">
        <f>E74</f>
        <v>343.33</v>
      </c>
    </row>
    <row r="103" spans="1:5">
      <c r="A103" s="59" t="s">
        <v>137</v>
      </c>
      <c r="B103" s="201" t="s">
        <v>213</v>
      </c>
      <c r="C103" s="201"/>
      <c r="D103" s="201"/>
      <c r="E103" s="76">
        <f>E81</f>
        <v>236.85</v>
      </c>
    </row>
    <row r="104" spans="1:5">
      <c r="A104" s="222" t="s">
        <v>214</v>
      </c>
      <c r="B104" s="222"/>
      <c r="C104" s="222"/>
      <c r="D104" s="100"/>
      <c r="E104" s="76">
        <f>SUM(E99:E103)</f>
        <v>5373.35</v>
      </c>
    </row>
    <row r="105" spans="1:5">
      <c r="A105" s="59" t="s">
        <v>139</v>
      </c>
      <c r="B105" s="201" t="s">
        <v>215</v>
      </c>
      <c r="C105" s="201"/>
      <c r="D105" s="201"/>
      <c r="E105" s="76">
        <f>+E97</f>
        <v>1621.6</v>
      </c>
    </row>
    <row r="106" spans="1:5">
      <c r="A106" s="220" t="s">
        <v>216</v>
      </c>
      <c r="B106" s="220"/>
      <c r="C106" s="220"/>
      <c r="D106" s="220"/>
      <c r="E106" s="73">
        <f>+E104+E105</f>
        <v>6994.95</v>
      </c>
    </row>
    <row r="107" spans="1:5">
      <c r="A107" s="221" t="s">
        <v>217</v>
      </c>
      <c r="B107" s="221"/>
      <c r="C107" s="221"/>
      <c r="D107" s="221"/>
      <c r="E107" s="101">
        <f>E106*2</f>
        <v>13989.9</v>
      </c>
    </row>
  </sheetData>
  <mergeCells count="99">
    <mergeCell ref="B43:C43"/>
    <mergeCell ref="B105:D105"/>
    <mergeCell ref="A106:D106"/>
    <mergeCell ref="A107:D107"/>
    <mergeCell ref="B100:D100"/>
    <mergeCell ref="B101:D101"/>
    <mergeCell ref="B102:D102"/>
    <mergeCell ref="B103:D103"/>
    <mergeCell ref="A104:C104"/>
    <mergeCell ref="A88:A95"/>
    <mergeCell ref="B88:C88"/>
    <mergeCell ref="A97:D97"/>
    <mergeCell ref="A98:D98"/>
    <mergeCell ref="B99:D99"/>
    <mergeCell ref="A83:C83"/>
    <mergeCell ref="A84:E84"/>
    <mergeCell ref="C86:D86"/>
    <mergeCell ref="C87:D87"/>
    <mergeCell ref="B78:D78"/>
    <mergeCell ref="B79:D79"/>
    <mergeCell ref="B80:D80"/>
    <mergeCell ref="A81:C81"/>
    <mergeCell ref="A82:B82"/>
    <mergeCell ref="C82:D82"/>
    <mergeCell ref="A74:C74"/>
    <mergeCell ref="A75:E75"/>
    <mergeCell ref="B76:D76"/>
    <mergeCell ref="B77:D77"/>
    <mergeCell ref="B85:D85"/>
    <mergeCell ref="A69:C69"/>
    <mergeCell ref="A70:D70"/>
    <mergeCell ref="B71:D71"/>
    <mergeCell ref="B72:C72"/>
    <mergeCell ref="B73:C73"/>
    <mergeCell ref="B64:C64"/>
    <mergeCell ref="A65:C65"/>
    <mergeCell ref="A66:D66"/>
    <mergeCell ref="B67:D67"/>
    <mergeCell ref="B68:D68"/>
    <mergeCell ref="B59:D59"/>
    <mergeCell ref="B60:C60"/>
    <mergeCell ref="B61:C61"/>
    <mergeCell ref="B62:C62"/>
    <mergeCell ref="B63:C63"/>
    <mergeCell ref="B54:C54"/>
    <mergeCell ref="B55:C55"/>
    <mergeCell ref="B56:C56"/>
    <mergeCell ref="A57:C57"/>
    <mergeCell ref="A58:E58"/>
    <mergeCell ref="A49:C49"/>
    <mergeCell ref="A50:E50"/>
    <mergeCell ref="B51:D51"/>
    <mergeCell ref="B52:C52"/>
    <mergeCell ref="B53:C53"/>
    <mergeCell ref="A44:D44"/>
    <mergeCell ref="A45:D45"/>
    <mergeCell ref="B46:D46"/>
    <mergeCell ref="B47:D47"/>
    <mergeCell ref="B48:D48"/>
    <mergeCell ref="B38:D38"/>
    <mergeCell ref="B39:C39"/>
    <mergeCell ref="B40:C40"/>
    <mergeCell ref="B41:C41"/>
    <mergeCell ref="B42:C42"/>
    <mergeCell ref="B33:C33"/>
    <mergeCell ref="B34:C34"/>
    <mergeCell ref="B35:C35"/>
    <mergeCell ref="B36:C36"/>
    <mergeCell ref="A37:C37"/>
    <mergeCell ref="B28:D28"/>
    <mergeCell ref="B29:C29"/>
    <mergeCell ref="B30:C30"/>
    <mergeCell ref="B31:C31"/>
    <mergeCell ref="B32:C32"/>
    <mergeCell ref="B23:D23"/>
    <mergeCell ref="B24:C24"/>
    <mergeCell ref="B25:C25"/>
    <mergeCell ref="A26:C26"/>
    <mergeCell ref="A27:E27"/>
    <mergeCell ref="C16:D16"/>
    <mergeCell ref="C18:D18"/>
    <mergeCell ref="B19:D19"/>
    <mergeCell ref="A21:D21"/>
    <mergeCell ref="A22:E22"/>
    <mergeCell ref="B11:D11"/>
    <mergeCell ref="C12:E12"/>
    <mergeCell ref="B13:D13"/>
    <mergeCell ref="A14:E14"/>
    <mergeCell ref="B15:D15"/>
    <mergeCell ref="C6:E6"/>
    <mergeCell ref="A7:E7"/>
    <mergeCell ref="A8:E8"/>
    <mergeCell ref="A9:E9"/>
    <mergeCell ref="C10:E10"/>
    <mergeCell ref="A1:E1"/>
    <mergeCell ref="A2:E2"/>
    <mergeCell ref="C3:E3"/>
    <mergeCell ref="C4:E4"/>
    <mergeCell ref="C5:E5"/>
  </mergeCells>
  <hyperlinks>
    <hyperlink ref="B36" r:id="rId1" xr:uid="{00000000-0004-0000-0300-000000000000}"/>
  </hyperlinks>
  <pageMargins left="0.51181102362204722" right="0.51181102362204722" top="0.78740157480314954" bottom="0.78740157480314954" header="0.31496062992125984" footer="0.31496062992125984"/>
  <pageSetup paperSize="9" scale="69" orientation="portrait" r:id="rId2"/>
  <rowBreaks count="1" manualBreakCount="1">
    <brk id="65" max="4" man="1"/>
  </row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8"/>
  <sheetViews>
    <sheetView tabSelected="1" topLeftCell="B58" zoomScale="120" workbookViewId="0">
      <selection activeCell="H103" sqref="H103"/>
    </sheetView>
  </sheetViews>
  <sheetFormatPr defaultRowHeight="15"/>
  <cols>
    <col min="1" max="1" width="11.140625" customWidth="1"/>
    <col min="2" max="2" width="47.42578125" customWidth="1"/>
    <col min="3" max="3" width="27.140625" customWidth="1"/>
    <col min="4" max="4" width="22.140625" customWidth="1"/>
    <col min="5" max="5" width="24.42578125" customWidth="1"/>
  </cols>
  <sheetData>
    <row r="1" spans="1:5" ht="21">
      <c r="A1" s="191" t="s">
        <v>97</v>
      </c>
      <c r="B1" s="191"/>
      <c r="C1" s="191"/>
      <c r="D1" s="191"/>
      <c r="E1" s="191"/>
    </row>
    <row r="2" spans="1:5">
      <c r="A2" s="192" t="s">
        <v>98</v>
      </c>
      <c r="B2" s="192"/>
      <c r="C2" s="192"/>
      <c r="D2" s="192"/>
      <c r="E2" s="192"/>
    </row>
    <row r="3" spans="1:5">
      <c r="A3" s="54" t="s">
        <v>99</v>
      </c>
      <c r="B3" s="55" t="s">
        <v>100</v>
      </c>
      <c r="C3" s="193" t="s">
        <v>282</v>
      </c>
      <c r="D3" s="193"/>
      <c r="E3" s="193"/>
    </row>
    <row r="4" spans="1:5">
      <c r="A4" s="54" t="s">
        <v>101</v>
      </c>
      <c r="B4" s="55" t="s">
        <v>80</v>
      </c>
      <c r="C4" s="194" t="s">
        <v>98</v>
      </c>
      <c r="D4" s="194"/>
      <c r="E4" s="194"/>
    </row>
    <row r="5" spans="1:5" ht="25.5">
      <c r="A5" s="54" t="s">
        <v>102</v>
      </c>
      <c r="B5" s="55" t="s">
        <v>103</v>
      </c>
      <c r="C5" s="194" t="s">
        <v>283</v>
      </c>
      <c r="D5" s="194"/>
      <c r="E5" s="194"/>
    </row>
    <row r="6" spans="1:5">
      <c r="A6" s="54" t="s">
        <v>104</v>
      </c>
      <c r="B6" s="55" t="s">
        <v>105</v>
      </c>
      <c r="C6" s="224">
        <v>12</v>
      </c>
      <c r="D6" s="225"/>
      <c r="E6" s="226"/>
    </row>
    <row r="7" spans="1:5">
      <c r="A7" s="195" t="s">
        <v>106</v>
      </c>
      <c r="B7" s="195"/>
      <c r="C7" s="195"/>
      <c r="D7" s="195"/>
      <c r="E7" s="195"/>
    </row>
    <row r="8" spans="1:5">
      <c r="A8" s="196" t="s">
        <v>107</v>
      </c>
      <c r="B8" s="196"/>
      <c r="C8" s="196"/>
      <c r="D8" s="196"/>
      <c r="E8" s="196"/>
    </row>
    <row r="9" spans="1:5">
      <c r="A9" s="196" t="s">
        <v>108</v>
      </c>
      <c r="B9" s="195"/>
      <c r="C9" s="195"/>
      <c r="D9" s="195"/>
      <c r="E9" s="195"/>
    </row>
    <row r="10" spans="1:5" ht="25.5">
      <c r="A10" s="54">
        <v>1</v>
      </c>
      <c r="B10" s="56" t="s">
        <v>109</v>
      </c>
      <c r="C10" s="197" t="s">
        <v>98</v>
      </c>
      <c r="D10" s="197"/>
      <c r="E10" s="197"/>
    </row>
    <row r="11" spans="1:5">
      <c r="A11" s="54">
        <v>2</v>
      </c>
      <c r="B11" s="198" t="s">
        <v>110</v>
      </c>
      <c r="C11" s="198"/>
      <c r="D11" s="198"/>
      <c r="E11" s="57">
        <v>1803.43</v>
      </c>
    </row>
    <row r="12" spans="1:5">
      <c r="A12" s="54">
        <v>3</v>
      </c>
      <c r="B12" s="56" t="s">
        <v>111</v>
      </c>
      <c r="C12" s="197" t="s">
        <v>218</v>
      </c>
      <c r="D12" s="197"/>
      <c r="E12" s="197"/>
    </row>
    <row r="13" spans="1:5">
      <c r="A13" s="54">
        <v>4</v>
      </c>
      <c r="B13" s="199" t="s">
        <v>113</v>
      </c>
      <c r="C13" s="199"/>
      <c r="D13" s="199"/>
      <c r="E13" s="58">
        <v>45717</v>
      </c>
    </row>
    <row r="14" spans="1:5">
      <c r="A14" s="200" t="s">
        <v>114</v>
      </c>
      <c r="B14" s="200"/>
      <c r="C14" s="200"/>
      <c r="D14" s="200"/>
      <c r="E14" s="200"/>
    </row>
    <row r="15" spans="1:5">
      <c r="A15" s="59">
        <v>1</v>
      </c>
      <c r="B15" s="201" t="s">
        <v>115</v>
      </c>
      <c r="C15" s="202"/>
      <c r="D15" s="202"/>
      <c r="E15" s="61" t="s">
        <v>116</v>
      </c>
    </row>
    <row r="16" spans="1:5">
      <c r="A16" s="62" t="s">
        <v>99</v>
      </c>
      <c r="B16" s="63" t="s">
        <v>117</v>
      </c>
      <c r="C16" s="203"/>
      <c r="D16" s="227"/>
      <c r="E16" s="65">
        <f>+E11</f>
        <v>1803.43</v>
      </c>
    </row>
    <row r="17" spans="1:5">
      <c r="A17" s="62" t="s">
        <v>101</v>
      </c>
      <c r="B17" s="66" t="s">
        <v>118</v>
      </c>
      <c r="C17" s="67">
        <v>0</v>
      </c>
      <c r="D17" s="102">
        <v>1302</v>
      </c>
      <c r="E17" s="69">
        <f>D17*C17</f>
        <v>0</v>
      </c>
    </row>
    <row r="18" spans="1:5" ht="17.25" customHeight="1">
      <c r="A18" s="103" t="s">
        <v>102</v>
      </c>
      <c r="B18" s="63" t="s">
        <v>119</v>
      </c>
      <c r="C18" s="104">
        <v>0.25</v>
      </c>
      <c r="D18" s="105">
        <v>15.21</v>
      </c>
      <c r="E18" s="69">
        <f>((E16/220*D18*8)*C18)</f>
        <v>249.37</v>
      </c>
    </row>
    <row r="19" spans="1:5" ht="14.25" customHeight="1">
      <c r="A19" s="62" t="s">
        <v>120</v>
      </c>
      <c r="B19" s="206" t="s">
        <v>121</v>
      </c>
      <c r="C19" s="207"/>
      <c r="D19" s="228"/>
      <c r="E19" s="70">
        <f>SUM(E16:E18)</f>
        <v>2052.8000000000002</v>
      </c>
    </row>
    <row r="20" spans="1:5" ht="19.5" customHeight="1">
      <c r="A20" s="62" t="s">
        <v>104</v>
      </c>
      <c r="B20" s="63" t="s">
        <v>122</v>
      </c>
      <c r="C20" s="71">
        <v>0.3</v>
      </c>
      <c r="D20" s="72">
        <f>E19</f>
        <v>2052.8000000000002</v>
      </c>
      <c r="E20" s="69">
        <f>E19*C20</f>
        <v>615.84</v>
      </c>
    </row>
    <row r="21" spans="1:5">
      <c r="A21" s="208" t="s">
        <v>123</v>
      </c>
      <c r="B21" s="208"/>
      <c r="C21" s="208"/>
      <c r="D21" s="208"/>
      <c r="E21" s="73">
        <f>SUM(E19:E20)</f>
        <v>2668.64</v>
      </c>
    </row>
    <row r="22" spans="1:5">
      <c r="A22" s="200" t="s">
        <v>124</v>
      </c>
      <c r="B22" s="200"/>
      <c r="C22" s="200"/>
      <c r="D22" s="200"/>
      <c r="E22" s="200"/>
    </row>
    <row r="23" spans="1:5">
      <c r="A23" s="59" t="s">
        <v>125</v>
      </c>
      <c r="B23" s="201" t="s">
        <v>126</v>
      </c>
      <c r="C23" s="202"/>
      <c r="D23" s="202"/>
      <c r="E23" s="61" t="s">
        <v>116</v>
      </c>
    </row>
    <row r="24" spans="1:5">
      <c r="A24" s="74" t="s">
        <v>99</v>
      </c>
      <c r="B24" s="209" t="s">
        <v>127</v>
      </c>
      <c r="C24" s="209"/>
      <c r="D24" s="75">
        <f>1/12</f>
        <v>8.3299999999999999E-2</v>
      </c>
      <c r="E24" s="76">
        <f t="shared" ref="E24:E25" si="0">ROUND(+$E$21*D24,2)</f>
        <v>222.3</v>
      </c>
    </row>
    <row r="25" spans="1:5">
      <c r="A25" s="74" t="s">
        <v>101</v>
      </c>
      <c r="B25" s="209" t="s">
        <v>128</v>
      </c>
      <c r="C25" s="209"/>
      <c r="D25" s="75">
        <v>0.1111</v>
      </c>
      <c r="E25" s="76">
        <f t="shared" si="0"/>
        <v>296.49</v>
      </c>
    </row>
    <row r="26" spans="1:5">
      <c r="A26" s="208" t="s">
        <v>129</v>
      </c>
      <c r="B26" s="208"/>
      <c r="C26" s="210"/>
      <c r="D26" s="77">
        <f>SUM(D24:D25)</f>
        <v>0.19439999999999999</v>
      </c>
      <c r="E26" s="73">
        <f>SUM(E24:E25)</f>
        <v>518.79</v>
      </c>
    </row>
    <row r="27" spans="1:5" ht="29.25" customHeight="1">
      <c r="A27" s="211" t="s">
        <v>130</v>
      </c>
      <c r="B27" s="211"/>
      <c r="C27" s="211"/>
      <c r="D27" s="211"/>
      <c r="E27" s="211"/>
    </row>
    <row r="28" spans="1:5">
      <c r="A28" s="59" t="s">
        <v>131</v>
      </c>
      <c r="B28" s="201" t="s">
        <v>132</v>
      </c>
      <c r="C28" s="202"/>
      <c r="D28" s="202"/>
      <c r="E28" s="61" t="s">
        <v>116</v>
      </c>
    </row>
    <row r="29" spans="1:5">
      <c r="A29" s="74" t="s">
        <v>99</v>
      </c>
      <c r="B29" s="199" t="s">
        <v>133</v>
      </c>
      <c r="C29" s="199"/>
      <c r="D29" s="75">
        <v>0.2</v>
      </c>
      <c r="E29" s="76">
        <f>(E21+E26)*D29</f>
        <v>637.49</v>
      </c>
    </row>
    <row r="30" spans="1:5">
      <c r="A30" s="74" t="s">
        <v>101</v>
      </c>
      <c r="B30" s="199" t="s">
        <v>134</v>
      </c>
      <c r="C30" s="199"/>
      <c r="D30" s="75">
        <v>1.4999999999999999E-2</v>
      </c>
      <c r="E30" s="76">
        <f>(E21+E26)*D30</f>
        <v>47.81</v>
      </c>
    </row>
    <row r="31" spans="1:5">
      <c r="A31" s="74" t="s">
        <v>102</v>
      </c>
      <c r="B31" s="199" t="s">
        <v>135</v>
      </c>
      <c r="C31" s="199"/>
      <c r="D31" s="75">
        <v>0.01</v>
      </c>
      <c r="E31" s="76">
        <f>(E21+E26)*D31</f>
        <v>31.87</v>
      </c>
    </row>
    <row r="32" spans="1:5">
      <c r="A32" s="74" t="s">
        <v>104</v>
      </c>
      <c r="B32" s="199" t="s">
        <v>136</v>
      </c>
      <c r="C32" s="199"/>
      <c r="D32" s="75">
        <v>2E-3</v>
      </c>
      <c r="E32" s="76">
        <f>(E21+E26)*D32</f>
        <v>6.37</v>
      </c>
    </row>
    <row r="33" spans="1:5">
      <c r="A33" s="74" t="s">
        <v>137</v>
      </c>
      <c r="B33" s="199" t="s">
        <v>138</v>
      </c>
      <c r="C33" s="199"/>
      <c r="D33" s="75">
        <v>2.5000000000000001E-2</v>
      </c>
      <c r="E33" s="76">
        <f>(E21+E26)*D33</f>
        <v>79.69</v>
      </c>
    </row>
    <row r="34" spans="1:5">
      <c r="A34" s="74" t="s">
        <v>139</v>
      </c>
      <c r="B34" s="199" t="s">
        <v>140</v>
      </c>
      <c r="C34" s="199"/>
      <c r="D34" s="75">
        <v>0.08</v>
      </c>
      <c r="E34" s="76">
        <f>(E21+E26)*D34</f>
        <v>254.99</v>
      </c>
    </row>
    <row r="35" spans="1:5">
      <c r="A35" s="74" t="s">
        <v>141</v>
      </c>
      <c r="B35" s="199" t="s">
        <v>142</v>
      </c>
      <c r="C35" s="199"/>
      <c r="D35" s="75">
        <v>2.8000000000000001E-2</v>
      </c>
      <c r="E35" s="76">
        <f>(E21+E26)*D35</f>
        <v>89.25</v>
      </c>
    </row>
    <row r="36" spans="1:5">
      <c r="A36" s="78" t="s">
        <v>143</v>
      </c>
      <c r="B36" s="212" t="s">
        <v>144</v>
      </c>
      <c r="C36" s="212"/>
      <c r="D36" s="79">
        <v>6.0000000000000001E-3</v>
      </c>
      <c r="E36" s="80">
        <f>(E21+E26)*D36</f>
        <v>19.12</v>
      </c>
    </row>
    <row r="37" spans="1:5">
      <c r="A37" s="208" t="s">
        <v>129</v>
      </c>
      <c r="B37" s="208"/>
      <c r="C37" s="210"/>
      <c r="D37" s="77">
        <f>SUM(D29:D36)</f>
        <v>0.36599999999999999</v>
      </c>
      <c r="E37" s="73">
        <f>SUM(E29:E36)</f>
        <v>1166.5899999999999</v>
      </c>
    </row>
    <row r="38" spans="1:5">
      <c r="A38" s="59" t="s">
        <v>145</v>
      </c>
      <c r="B38" s="201" t="s">
        <v>146</v>
      </c>
      <c r="C38" s="202"/>
      <c r="D38" s="202"/>
      <c r="E38" s="61" t="s">
        <v>116</v>
      </c>
    </row>
    <row r="39" spans="1:5">
      <c r="A39" s="74" t="s">
        <v>99</v>
      </c>
      <c r="B39" s="209" t="s">
        <v>147</v>
      </c>
      <c r="C39" s="209"/>
      <c r="D39" s="81">
        <v>6</v>
      </c>
      <c r="E39" s="82">
        <f>D39*32-6/100*E11</f>
        <v>83.79</v>
      </c>
    </row>
    <row r="40" spans="1:5">
      <c r="A40" s="74" t="s">
        <v>101</v>
      </c>
      <c r="B40" s="209" t="s">
        <v>148</v>
      </c>
      <c r="C40" s="209"/>
      <c r="D40" s="83">
        <v>44</v>
      </c>
      <c r="E40" s="65">
        <f>(D40*15.21)-(D40*15.21*1%)</f>
        <v>662.55</v>
      </c>
    </row>
    <row r="41" spans="1:5">
      <c r="A41" s="74" t="s">
        <v>102</v>
      </c>
      <c r="B41" s="209" t="s">
        <v>149</v>
      </c>
      <c r="C41" s="209"/>
      <c r="D41" s="84"/>
      <c r="E41" s="65">
        <f>((E11*16%) -(E11*1%))/12</f>
        <v>22.54</v>
      </c>
    </row>
    <row r="42" spans="1:5">
      <c r="A42" s="74" t="s">
        <v>104</v>
      </c>
      <c r="B42" s="209" t="s">
        <v>150</v>
      </c>
      <c r="C42" s="209"/>
      <c r="D42" s="85">
        <v>15.06</v>
      </c>
      <c r="E42" s="82">
        <f t="shared" ref="E42" si="1">D42</f>
        <v>15.06</v>
      </c>
    </row>
    <row r="43" spans="1:5">
      <c r="A43" s="74" t="s">
        <v>137</v>
      </c>
      <c r="B43" s="209" t="s">
        <v>151</v>
      </c>
      <c r="C43" s="209"/>
      <c r="D43" s="85">
        <v>16.5</v>
      </c>
      <c r="E43" s="82">
        <f>D43</f>
        <v>16.5</v>
      </c>
    </row>
    <row r="44" spans="1:5" ht="15.6" customHeight="1">
      <c r="A44" s="229" t="s">
        <v>152</v>
      </c>
      <c r="B44" s="230"/>
      <c r="C44" s="230"/>
      <c r="D44" s="231"/>
      <c r="E44" s="73">
        <f>SUM(E39:E43)</f>
        <v>800.44</v>
      </c>
    </row>
    <row r="45" spans="1:5">
      <c r="A45" s="232" t="s">
        <v>153</v>
      </c>
      <c r="B45" s="233"/>
      <c r="C45" s="233"/>
      <c r="D45" s="234"/>
      <c r="E45" s="76"/>
    </row>
    <row r="46" spans="1:5">
      <c r="A46" s="59" t="s">
        <v>125</v>
      </c>
      <c r="B46" s="235" t="s">
        <v>154</v>
      </c>
      <c r="C46" s="236"/>
      <c r="D46" s="237"/>
      <c r="E46" s="86">
        <f>E26</f>
        <v>518.79</v>
      </c>
    </row>
    <row r="47" spans="1:5">
      <c r="A47" s="59" t="s">
        <v>131</v>
      </c>
      <c r="B47" s="238" t="s">
        <v>155</v>
      </c>
      <c r="C47" s="239"/>
      <c r="D47" s="240"/>
      <c r="E47" s="76">
        <f>E37</f>
        <v>1166.5899999999999</v>
      </c>
    </row>
    <row r="48" spans="1:5">
      <c r="A48" s="59" t="s">
        <v>145</v>
      </c>
      <c r="B48" s="238" t="s">
        <v>156</v>
      </c>
      <c r="C48" s="239"/>
      <c r="D48" s="240"/>
      <c r="E48" s="76">
        <f>E44</f>
        <v>800.44</v>
      </c>
    </row>
    <row r="49" spans="1:6">
      <c r="A49" s="229" t="s">
        <v>129</v>
      </c>
      <c r="B49" s="230"/>
      <c r="C49" s="231"/>
      <c r="D49" s="87" t="s">
        <v>120</v>
      </c>
      <c r="E49" s="73">
        <f>SUM(E46:E48)</f>
        <v>2485.8200000000002</v>
      </c>
    </row>
    <row r="50" spans="1:6">
      <c r="A50" s="232" t="s">
        <v>157</v>
      </c>
      <c r="B50" s="233"/>
      <c r="C50" s="233"/>
      <c r="D50" s="233"/>
      <c r="E50" s="234"/>
    </row>
    <row r="51" spans="1:6">
      <c r="A51" s="59" t="s">
        <v>158</v>
      </c>
      <c r="B51" s="235" t="s">
        <v>159</v>
      </c>
      <c r="C51" s="236"/>
      <c r="D51" s="237"/>
      <c r="E51" s="61" t="s">
        <v>116</v>
      </c>
    </row>
    <row r="52" spans="1:6">
      <c r="A52" s="74" t="s">
        <v>99</v>
      </c>
      <c r="B52" s="209" t="s">
        <v>160</v>
      </c>
      <c r="C52" s="209"/>
      <c r="D52" s="75">
        <v>4.5999999999999999E-3</v>
      </c>
      <c r="E52" s="76">
        <f t="shared" ref="E52:E56" si="2">ROUND(+D52*$E$21,2)</f>
        <v>12.28</v>
      </c>
    </row>
    <row r="53" spans="1:6">
      <c r="A53" s="74" t="s">
        <v>101</v>
      </c>
      <c r="B53" s="209" t="s">
        <v>161</v>
      </c>
      <c r="C53" s="209"/>
      <c r="D53" s="75">
        <f>D34*D52</f>
        <v>4.0000000000000002E-4</v>
      </c>
      <c r="E53" s="76">
        <f t="shared" si="2"/>
        <v>1.07</v>
      </c>
    </row>
    <row r="54" spans="1:6">
      <c r="A54" s="74" t="s">
        <v>102</v>
      </c>
      <c r="B54" s="199" t="s">
        <v>162</v>
      </c>
      <c r="C54" s="199"/>
      <c r="D54" s="75">
        <v>1.9400000000000001E-2</v>
      </c>
      <c r="E54" s="76">
        <f t="shared" si="2"/>
        <v>51.77</v>
      </c>
    </row>
    <row r="55" spans="1:6">
      <c r="A55" s="74" t="s">
        <v>104</v>
      </c>
      <c r="B55" s="209" t="s">
        <v>163</v>
      </c>
      <c r="C55" s="209"/>
      <c r="D55" s="75">
        <f>D37*D54</f>
        <v>7.1000000000000004E-3</v>
      </c>
      <c r="E55" s="76">
        <f t="shared" si="2"/>
        <v>18.95</v>
      </c>
    </row>
    <row r="56" spans="1:6" ht="33" customHeight="1">
      <c r="A56" s="74" t="s">
        <v>137</v>
      </c>
      <c r="B56" s="209" t="s">
        <v>164</v>
      </c>
      <c r="C56" s="209"/>
      <c r="D56" s="75">
        <f>4%</f>
        <v>0.04</v>
      </c>
      <c r="E56" s="76">
        <f t="shared" si="2"/>
        <v>106.75</v>
      </c>
    </row>
    <row r="57" spans="1:6">
      <c r="A57" s="229" t="s">
        <v>129</v>
      </c>
      <c r="B57" s="230"/>
      <c r="C57" s="231"/>
      <c r="D57" s="88">
        <f>SUM(D52:D56)</f>
        <v>7.1499999999999994E-2</v>
      </c>
      <c r="E57" s="73">
        <f>SUM(E52:E56)</f>
        <v>190.82</v>
      </c>
    </row>
    <row r="58" spans="1:6">
      <c r="A58" s="232" t="s">
        <v>165</v>
      </c>
      <c r="B58" s="233"/>
      <c r="C58" s="233"/>
      <c r="D58" s="233"/>
      <c r="E58" s="234"/>
    </row>
    <row r="59" spans="1:6">
      <c r="A59" s="59" t="s">
        <v>166</v>
      </c>
      <c r="B59" s="232" t="s">
        <v>167</v>
      </c>
      <c r="C59" s="233"/>
      <c r="D59" s="234"/>
      <c r="E59" s="61" t="s">
        <v>116</v>
      </c>
    </row>
    <row r="60" spans="1:6">
      <c r="A60" s="74" t="s">
        <v>99</v>
      </c>
      <c r="B60" s="209" t="s">
        <v>168</v>
      </c>
      <c r="C60" s="209"/>
      <c r="D60" s="75">
        <f>((1+1/3)/12)/12</f>
        <v>9.2999999999999992E-3</v>
      </c>
      <c r="E60" s="76">
        <f>(E21+E49+E57+E78)*D60</f>
        <v>50.54</v>
      </c>
    </row>
    <row r="61" spans="1:6">
      <c r="A61" s="74" t="s">
        <v>101</v>
      </c>
      <c r="B61" s="209" t="s">
        <v>169</v>
      </c>
      <c r="C61" s="209"/>
      <c r="D61" s="75">
        <v>1.66E-2</v>
      </c>
      <c r="E61" s="76">
        <f>(E21+E49+E57+E78)*D61</f>
        <v>90.22</v>
      </c>
      <c r="F61" t="s">
        <v>170</v>
      </c>
    </row>
    <row r="62" spans="1:6">
      <c r="A62" s="74" t="s">
        <v>102</v>
      </c>
      <c r="B62" s="209" t="s">
        <v>171</v>
      </c>
      <c r="C62" s="209"/>
      <c r="D62" s="75">
        <v>8.0000000000000004E-4</v>
      </c>
      <c r="E62" s="76">
        <f>(E21+E49+E57+E78)*D62</f>
        <v>4.3499999999999996</v>
      </c>
      <c r="F62" t="s">
        <v>172</v>
      </c>
    </row>
    <row r="63" spans="1:6">
      <c r="A63" s="74" t="s">
        <v>104</v>
      </c>
      <c r="B63" s="209" t="s">
        <v>173</v>
      </c>
      <c r="C63" s="209"/>
      <c r="D63" s="75">
        <f>(1/30)*(1/12)</f>
        <v>2.8E-3</v>
      </c>
      <c r="E63" s="76">
        <f>(E21+E49+E57+E78)*D63</f>
        <v>15.22</v>
      </c>
      <c r="F63" t="s">
        <v>174</v>
      </c>
    </row>
    <row r="64" spans="1:6">
      <c r="A64" s="74" t="s">
        <v>137</v>
      </c>
      <c r="B64" s="209" t="s">
        <v>175</v>
      </c>
      <c r="C64" s="209"/>
      <c r="D64" s="75">
        <v>2.5000000000000001E-3</v>
      </c>
      <c r="E64" s="76">
        <f>(E21+E49+E57+E78)*D64</f>
        <v>13.59</v>
      </c>
      <c r="F64" t="s">
        <v>176</v>
      </c>
    </row>
    <row r="65" spans="1:7">
      <c r="A65" s="166" t="s">
        <v>139</v>
      </c>
      <c r="B65" t="s">
        <v>284</v>
      </c>
      <c r="C65" s="165"/>
      <c r="D65" s="167">
        <v>9.7000000000000003E-3</v>
      </c>
      <c r="E65" s="168">
        <v>51.94</v>
      </c>
    </row>
    <row r="66" spans="1:7" ht="15" customHeight="1">
      <c r="A66" s="229" t="s">
        <v>178</v>
      </c>
      <c r="B66" s="230"/>
      <c r="C66" s="231"/>
      <c r="D66" s="88">
        <f>SUM(D60:D65)</f>
        <v>4.1700000000000001E-2</v>
      </c>
      <c r="E66" s="73">
        <f>SUM(E60:E65)</f>
        <v>225.86</v>
      </c>
    </row>
    <row r="67" spans="1:7">
      <c r="A67" s="232"/>
      <c r="B67" s="233"/>
      <c r="C67" s="233"/>
      <c r="D67" s="234"/>
      <c r="E67" s="76"/>
    </row>
    <row r="68" spans="1:7">
      <c r="A68" s="59" t="s">
        <v>120</v>
      </c>
      <c r="B68" s="235" t="s">
        <v>179</v>
      </c>
      <c r="C68" s="236"/>
      <c r="D68" s="237"/>
      <c r="E68" s="61" t="s">
        <v>116</v>
      </c>
    </row>
    <row r="69" spans="1:7">
      <c r="A69" s="74" t="s">
        <v>99</v>
      </c>
      <c r="B69" s="238" t="s">
        <v>180</v>
      </c>
      <c r="C69" s="239"/>
      <c r="D69" s="240"/>
      <c r="E69" s="76">
        <f>(8.2*1.5)*(15.21)</f>
        <v>187.08</v>
      </c>
      <c r="G69" s="89"/>
    </row>
    <row r="70" spans="1:7">
      <c r="A70" s="229" t="s">
        <v>129</v>
      </c>
      <c r="B70" s="230"/>
      <c r="C70" s="231"/>
      <c r="D70" s="77"/>
      <c r="E70" s="73">
        <f>E69</f>
        <v>187.08</v>
      </c>
    </row>
    <row r="71" spans="1:7">
      <c r="A71" s="232" t="s">
        <v>181</v>
      </c>
      <c r="B71" s="233"/>
      <c r="C71" s="233"/>
      <c r="D71" s="234"/>
      <c r="E71" s="76"/>
    </row>
    <row r="72" spans="1:7">
      <c r="A72" s="59">
        <v>4</v>
      </c>
      <c r="B72" s="235" t="s">
        <v>182</v>
      </c>
      <c r="C72" s="236"/>
      <c r="D72" s="237"/>
      <c r="E72" s="61" t="s">
        <v>116</v>
      </c>
    </row>
    <row r="73" spans="1:7">
      <c r="A73" s="74" t="s">
        <v>166</v>
      </c>
      <c r="B73" s="209" t="s">
        <v>167</v>
      </c>
      <c r="C73" s="209"/>
      <c r="D73" s="75">
        <f>D66</f>
        <v>4.1700000000000001E-2</v>
      </c>
      <c r="E73" s="76">
        <f>E66</f>
        <v>225.86</v>
      </c>
    </row>
    <row r="74" spans="1:7">
      <c r="A74" s="74" t="s">
        <v>183</v>
      </c>
      <c r="B74" s="209" t="s">
        <v>179</v>
      </c>
      <c r="C74" s="209"/>
      <c r="D74" s="75"/>
      <c r="E74" s="76">
        <f>E70</f>
        <v>187.08</v>
      </c>
    </row>
    <row r="75" spans="1:7" ht="15" customHeight="1">
      <c r="A75" s="229" t="s">
        <v>184</v>
      </c>
      <c r="B75" s="230"/>
      <c r="C75" s="231"/>
      <c r="D75" s="88">
        <f>SUM(D70:D74)</f>
        <v>4.1700000000000001E-2</v>
      </c>
      <c r="E75" s="73">
        <f>SUM(E73+E74)</f>
        <v>412.94</v>
      </c>
    </row>
    <row r="76" spans="1:7">
      <c r="A76" s="232" t="s">
        <v>185</v>
      </c>
      <c r="B76" s="233"/>
      <c r="C76" s="233"/>
      <c r="D76" s="233"/>
      <c r="E76" s="234"/>
    </row>
    <row r="77" spans="1:7">
      <c r="A77" s="59">
        <v>5</v>
      </c>
      <c r="B77" s="235" t="s">
        <v>186</v>
      </c>
      <c r="C77" s="236"/>
      <c r="D77" s="237"/>
      <c r="E77" s="61" t="s">
        <v>116</v>
      </c>
    </row>
    <row r="78" spans="1:7">
      <c r="A78" s="74" t="s">
        <v>99</v>
      </c>
      <c r="B78" s="238" t="s">
        <v>187</v>
      </c>
      <c r="C78" s="239"/>
      <c r="D78" s="240"/>
      <c r="E78" s="76">
        <f>'Material e uniforme'!H13</f>
        <v>89.62</v>
      </c>
    </row>
    <row r="79" spans="1:7">
      <c r="A79" s="74" t="s">
        <v>101</v>
      </c>
      <c r="B79" s="238" t="s">
        <v>188</v>
      </c>
      <c r="C79" s="239"/>
      <c r="D79" s="240"/>
      <c r="E79" s="76">
        <f>'Material e uniforme'!H24</f>
        <v>9.74</v>
      </c>
    </row>
    <row r="80" spans="1:7">
      <c r="A80" s="74" t="s">
        <v>102</v>
      </c>
      <c r="B80" s="238" t="s">
        <v>189</v>
      </c>
      <c r="C80" s="239"/>
      <c r="D80" s="240"/>
      <c r="E80" s="76">
        <f>'Material e uniforme'!H37</f>
        <v>97.69</v>
      </c>
    </row>
    <row r="81" spans="1:5">
      <c r="A81" s="74" t="s">
        <v>104</v>
      </c>
      <c r="B81" s="238" t="s">
        <v>190</v>
      </c>
      <c r="C81" s="239"/>
      <c r="D81" s="240"/>
      <c r="E81" s="76">
        <v>39.799999999999997</v>
      </c>
    </row>
    <row r="82" spans="1:5" ht="15" customHeight="1">
      <c r="A82" s="229" t="s">
        <v>191</v>
      </c>
      <c r="B82" s="230"/>
      <c r="C82" s="231"/>
      <c r="D82" s="88" t="s">
        <v>120</v>
      </c>
      <c r="E82" s="73">
        <f>SUM(E78:E81)</f>
        <v>236.85</v>
      </c>
    </row>
    <row r="83" spans="1:5" ht="15" customHeight="1">
      <c r="A83" s="241" t="s">
        <v>192</v>
      </c>
      <c r="B83" s="242"/>
      <c r="C83" s="241" t="s">
        <v>129</v>
      </c>
      <c r="D83" s="242"/>
      <c r="E83" s="76">
        <f>SUM(E21+E49+E57+E75+E82)</f>
        <v>5995.07</v>
      </c>
    </row>
    <row r="84" spans="1:5" ht="30.75" customHeight="1">
      <c r="A84" s="244" t="s">
        <v>193</v>
      </c>
      <c r="B84" s="245"/>
      <c r="C84" s="246"/>
      <c r="D84" s="90"/>
      <c r="E84" s="73">
        <f>E83</f>
        <v>5995.07</v>
      </c>
    </row>
    <row r="85" spans="1:5">
      <c r="A85" s="232" t="s">
        <v>194</v>
      </c>
      <c r="B85" s="233"/>
      <c r="C85" s="233"/>
      <c r="D85" s="233"/>
      <c r="E85" s="234"/>
    </row>
    <row r="86" spans="1:5">
      <c r="A86" s="59">
        <v>6</v>
      </c>
      <c r="B86" s="235" t="s">
        <v>195</v>
      </c>
      <c r="C86" s="236"/>
      <c r="D86" s="237"/>
      <c r="E86" s="61" t="s">
        <v>116</v>
      </c>
    </row>
    <row r="87" spans="1:5">
      <c r="A87" s="59" t="s">
        <v>99</v>
      </c>
      <c r="B87" s="91" t="s">
        <v>196</v>
      </c>
      <c r="C87" s="247">
        <v>7.4999999999999997E-2</v>
      </c>
      <c r="D87" s="248"/>
      <c r="E87" s="76">
        <f>+E84*C87</f>
        <v>449.63</v>
      </c>
    </row>
    <row r="88" spans="1:5">
      <c r="A88" s="59" t="s">
        <v>101</v>
      </c>
      <c r="B88" s="91" t="s">
        <v>197</v>
      </c>
      <c r="C88" s="247">
        <v>0.1</v>
      </c>
      <c r="D88" s="248"/>
      <c r="E88" s="76">
        <f>C88*(+E84+E87)</f>
        <v>644.47</v>
      </c>
    </row>
    <row r="89" spans="1:5" ht="36" customHeight="1">
      <c r="A89" s="219" t="s">
        <v>102</v>
      </c>
      <c r="B89" s="223" t="s">
        <v>198</v>
      </c>
      <c r="C89" s="223"/>
      <c r="D89" s="92">
        <f>+(100-14.25)/100</f>
        <v>0.85750000000000004</v>
      </c>
      <c r="E89" s="76">
        <f>+E84+E87+E88</f>
        <v>7089.17</v>
      </c>
    </row>
    <row r="90" spans="1:5">
      <c r="A90" s="219"/>
      <c r="B90" s="60" t="s">
        <v>199</v>
      </c>
      <c r="C90" s="93"/>
      <c r="D90" s="93"/>
      <c r="E90" s="94">
        <f>+E89/D89</f>
        <v>8267.25</v>
      </c>
    </row>
    <row r="91" spans="1:5">
      <c r="A91" s="219"/>
      <c r="B91" s="60" t="s">
        <v>200</v>
      </c>
      <c r="C91" s="60"/>
      <c r="D91" s="60"/>
      <c r="E91" s="76"/>
    </row>
    <row r="92" spans="1:5">
      <c r="A92" s="219"/>
      <c r="B92" s="95" t="s">
        <v>201</v>
      </c>
      <c r="C92" s="96"/>
      <c r="D92" s="75">
        <v>6.4999999999999997E-3</v>
      </c>
      <c r="E92" s="76">
        <f>+E90*D92</f>
        <v>53.74</v>
      </c>
    </row>
    <row r="93" spans="1:5">
      <c r="A93" s="219"/>
      <c r="B93" s="95" t="s">
        <v>202</v>
      </c>
      <c r="C93" s="96"/>
      <c r="D93" s="75">
        <v>0.03</v>
      </c>
      <c r="E93" s="76">
        <f>+E90*D93</f>
        <v>248.02</v>
      </c>
    </row>
    <row r="94" spans="1:5">
      <c r="A94" s="219"/>
      <c r="B94" s="97" t="s">
        <v>203</v>
      </c>
      <c r="C94" s="98"/>
      <c r="D94" s="93"/>
      <c r="E94" s="76"/>
    </row>
    <row r="95" spans="1:5">
      <c r="A95" s="219"/>
      <c r="B95" s="97" t="s">
        <v>204</v>
      </c>
      <c r="C95" s="98"/>
      <c r="D95" s="98"/>
      <c r="E95" s="76"/>
    </row>
    <row r="96" spans="1:5">
      <c r="A96" s="219"/>
      <c r="B96" s="95" t="s">
        <v>205</v>
      </c>
      <c r="C96" s="96"/>
      <c r="D96" s="75">
        <v>0.05</v>
      </c>
      <c r="E96" s="76">
        <f>+E90*D96</f>
        <v>413.36</v>
      </c>
    </row>
    <row r="97" spans="1:5">
      <c r="A97" s="59"/>
      <c r="B97" s="93" t="s">
        <v>206</v>
      </c>
      <c r="C97" s="93"/>
      <c r="D97" s="99">
        <f>SUM(D92:D96)</f>
        <v>8.6499999999999994E-2</v>
      </c>
      <c r="E97" s="76">
        <f>SUM(E92:E96)</f>
        <v>715.12</v>
      </c>
    </row>
    <row r="98" spans="1:5" ht="15" customHeight="1">
      <c r="A98" s="229" t="s">
        <v>207</v>
      </c>
      <c r="B98" s="230"/>
      <c r="C98" s="230"/>
      <c r="D98" s="231"/>
      <c r="E98" s="73">
        <f>+E87+E88+E97</f>
        <v>1809.22</v>
      </c>
    </row>
    <row r="99" spans="1:5" ht="15" customHeight="1">
      <c r="A99" s="241" t="s">
        <v>208</v>
      </c>
      <c r="B99" s="243"/>
      <c r="C99" s="243"/>
      <c r="D99" s="242"/>
      <c r="E99" s="61" t="s">
        <v>116</v>
      </c>
    </row>
    <row r="100" spans="1:5">
      <c r="A100" s="59" t="s">
        <v>99</v>
      </c>
      <c r="B100" s="235" t="s">
        <v>209</v>
      </c>
      <c r="C100" s="236"/>
      <c r="D100" s="237"/>
      <c r="E100" s="76">
        <f>+E21</f>
        <v>2668.64</v>
      </c>
    </row>
    <row r="101" spans="1:5">
      <c r="A101" s="59" t="s">
        <v>101</v>
      </c>
      <c r="B101" s="235" t="s">
        <v>210</v>
      </c>
      <c r="C101" s="236"/>
      <c r="D101" s="237"/>
      <c r="E101" s="76">
        <f>E49</f>
        <v>2485.8200000000002</v>
      </c>
    </row>
    <row r="102" spans="1:5">
      <c r="A102" s="59" t="s">
        <v>102</v>
      </c>
      <c r="B102" s="235" t="s">
        <v>211</v>
      </c>
      <c r="C102" s="236"/>
      <c r="D102" s="237"/>
      <c r="E102" s="76">
        <f>E57</f>
        <v>190.82</v>
      </c>
    </row>
    <row r="103" spans="1:5">
      <c r="A103" s="59" t="s">
        <v>104</v>
      </c>
      <c r="B103" s="235" t="s">
        <v>212</v>
      </c>
      <c r="C103" s="236"/>
      <c r="D103" s="237"/>
      <c r="E103" s="76">
        <f>E75</f>
        <v>412.94</v>
      </c>
    </row>
    <row r="104" spans="1:5">
      <c r="A104" s="59" t="s">
        <v>137</v>
      </c>
      <c r="B104" s="235" t="s">
        <v>213</v>
      </c>
      <c r="C104" s="236"/>
      <c r="D104" s="237"/>
      <c r="E104" s="76">
        <f>E82</f>
        <v>236.85</v>
      </c>
    </row>
    <row r="105" spans="1:5" ht="15" customHeight="1">
      <c r="A105" s="241" t="s">
        <v>214</v>
      </c>
      <c r="B105" s="243"/>
      <c r="C105" s="243"/>
      <c r="D105" s="242"/>
      <c r="E105" s="76">
        <f>SUM(E100:E104)</f>
        <v>5995.07</v>
      </c>
    </row>
    <row r="106" spans="1:5">
      <c r="A106" s="59" t="s">
        <v>139</v>
      </c>
      <c r="B106" s="235" t="s">
        <v>215</v>
      </c>
      <c r="C106" s="236"/>
      <c r="D106" s="237"/>
      <c r="E106" s="76">
        <f>+E98</f>
        <v>1809.22</v>
      </c>
    </row>
    <row r="107" spans="1:5" ht="15" customHeight="1">
      <c r="A107" s="244" t="s">
        <v>216</v>
      </c>
      <c r="B107" s="245"/>
      <c r="C107" s="245"/>
      <c r="D107" s="246"/>
      <c r="E107" s="73">
        <f>+E105+E106</f>
        <v>7804.29</v>
      </c>
    </row>
    <row r="108" spans="1:5">
      <c r="A108" s="249" t="s">
        <v>217</v>
      </c>
      <c r="B108" s="250"/>
      <c r="C108" s="250"/>
      <c r="D108" s="251"/>
      <c r="E108" s="101">
        <f>E107*2</f>
        <v>15608.58</v>
      </c>
    </row>
  </sheetData>
  <mergeCells count="98">
    <mergeCell ref="A108:D108"/>
    <mergeCell ref="A107:D107"/>
    <mergeCell ref="A58:E58"/>
    <mergeCell ref="A57:C57"/>
    <mergeCell ref="B100:D100"/>
    <mergeCell ref="A99:D99"/>
    <mergeCell ref="A98:D98"/>
    <mergeCell ref="B69:D69"/>
    <mergeCell ref="B68:D68"/>
    <mergeCell ref="A67:D67"/>
    <mergeCell ref="A66:C66"/>
    <mergeCell ref="B106:D106"/>
    <mergeCell ref="B101:D101"/>
    <mergeCell ref="B102:D102"/>
    <mergeCell ref="B103:D103"/>
    <mergeCell ref="B104:D104"/>
    <mergeCell ref="A105:D105"/>
    <mergeCell ref="A89:A96"/>
    <mergeCell ref="B89:C89"/>
    <mergeCell ref="A84:C84"/>
    <mergeCell ref="A85:E85"/>
    <mergeCell ref="B86:D86"/>
    <mergeCell ref="C87:D87"/>
    <mergeCell ref="C88:D88"/>
    <mergeCell ref="B80:D80"/>
    <mergeCell ref="B81:D81"/>
    <mergeCell ref="A82:C82"/>
    <mergeCell ref="A83:B83"/>
    <mergeCell ref="C83:D83"/>
    <mergeCell ref="A75:C75"/>
    <mergeCell ref="A76:E76"/>
    <mergeCell ref="B77:D77"/>
    <mergeCell ref="B78:D78"/>
    <mergeCell ref="B79:D79"/>
    <mergeCell ref="A70:C70"/>
    <mergeCell ref="A71:D71"/>
    <mergeCell ref="B72:D72"/>
    <mergeCell ref="B73:C73"/>
    <mergeCell ref="B74:C74"/>
    <mergeCell ref="B64:C64"/>
    <mergeCell ref="B59:D59"/>
    <mergeCell ref="B60:C60"/>
    <mergeCell ref="B61:C61"/>
    <mergeCell ref="B62:C62"/>
    <mergeCell ref="B63:C63"/>
    <mergeCell ref="B54:C54"/>
    <mergeCell ref="B55:C55"/>
    <mergeCell ref="B56:C56"/>
    <mergeCell ref="A49:C49"/>
    <mergeCell ref="A50:E50"/>
    <mergeCell ref="B51:D51"/>
    <mergeCell ref="B52:C52"/>
    <mergeCell ref="B53:C53"/>
    <mergeCell ref="A44:D44"/>
    <mergeCell ref="A45:D45"/>
    <mergeCell ref="B46:D46"/>
    <mergeCell ref="B47:D47"/>
    <mergeCell ref="B48:D48"/>
    <mergeCell ref="B39:C39"/>
    <mergeCell ref="B40:C40"/>
    <mergeCell ref="B41:C41"/>
    <mergeCell ref="B42:C42"/>
    <mergeCell ref="B43:C43"/>
    <mergeCell ref="B34:C34"/>
    <mergeCell ref="B35:C35"/>
    <mergeCell ref="B36:C36"/>
    <mergeCell ref="A37:C37"/>
    <mergeCell ref="B38:D38"/>
    <mergeCell ref="B29:C29"/>
    <mergeCell ref="B30:C30"/>
    <mergeCell ref="B31:C31"/>
    <mergeCell ref="B32:C32"/>
    <mergeCell ref="B33:C33"/>
    <mergeCell ref="B24:C24"/>
    <mergeCell ref="B25:C25"/>
    <mergeCell ref="A26:C26"/>
    <mergeCell ref="A27:E27"/>
    <mergeCell ref="B28:D28"/>
    <mergeCell ref="C16:D16"/>
    <mergeCell ref="B19:D19"/>
    <mergeCell ref="A21:D21"/>
    <mergeCell ref="A22:E22"/>
    <mergeCell ref="B23:D23"/>
    <mergeCell ref="B11:D11"/>
    <mergeCell ref="C12:E12"/>
    <mergeCell ref="B13:D13"/>
    <mergeCell ref="A14:E14"/>
    <mergeCell ref="B15:D15"/>
    <mergeCell ref="C6:E6"/>
    <mergeCell ref="A7:E7"/>
    <mergeCell ref="A8:E8"/>
    <mergeCell ref="A9:E9"/>
    <mergeCell ref="C10:E10"/>
    <mergeCell ref="A1:E1"/>
    <mergeCell ref="A2:E2"/>
    <mergeCell ref="C3:E3"/>
    <mergeCell ref="C4:E4"/>
    <mergeCell ref="C5:E5"/>
  </mergeCells>
  <hyperlinks>
    <hyperlink ref="B36" r:id="rId1" xr:uid="{00000000-0004-0000-0400-000000000000}"/>
  </hyperlinks>
  <pageMargins left="0.51181102362204722" right="0.51181102362204722" top="0.78740157480314954" bottom="0.78740157480314954" header="0.31496062992125984" footer="0.31496062992125984"/>
  <pageSetup paperSize="9" scale="69" orientation="portrait"/>
  <rowBreaks count="1" manualBreakCount="1">
    <brk id="66" max="4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2"/>
  <sheetViews>
    <sheetView topLeftCell="A57" workbookViewId="0">
      <selection activeCell="H4" sqref="H4:I4"/>
    </sheetView>
  </sheetViews>
  <sheetFormatPr defaultRowHeight="15"/>
  <cols>
    <col min="1" max="1" width="11.140625" customWidth="1"/>
    <col min="2" max="2" width="34.7109375" customWidth="1"/>
    <col min="3" max="3" width="19.7109375" customWidth="1"/>
    <col min="4" max="4" width="11.7109375" customWidth="1"/>
    <col min="5" max="5" width="14.7109375" customWidth="1"/>
    <col min="14" max="14" width="13.28515625" customWidth="1"/>
    <col min="15" max="15" width="11.85546875" customWidth="1"/>
  </cols>
  <sheetData>
    <row r="1" spans="1:5" ht="21">
      <c r="A1" s="252" t="s">
        <v>219</v>
      </c>
      <c r="B1" s="253"/>
      <c r="C1" s="253"/>
      <c r="D1" s="253"/>
      <c r="E1" s="254"/>
    </row>
    <row r="2" spans="1:5">
      <c r="A2" s="255" t="s">
        <v>220</v>
      </c>
      <c r="B2" s="256"/>
      <c r="C2" s="256"/>
      <c r="D2" s="256"/>
      <c r="E2" s="257"/>
    </row>
    <row r="3" spans="1:5" ht="25.5">
      <c r="A3" s="106" t="s">
        <v>99</v>
      </c>
      <c r="B3" s="107" t="s">
        <v>100</v>
      </c>
      <c r="C3" s="258" t="s">
        <v>221</v>
      </c>
      <c r="D3" s="259"/>
      <c r="E3" s="260"/>
    </row>
    <row r="4" spans="1:5">
      <c r="A4" s="106" t="s">
        <v>101</v>
      </c>
      <c r="B4" s="107" t="s">
        <v>80</v>
      </c>
      <c r="C4" s="261" t="s">
        <v>98</v>
      </c>
      <c r="D4" s="225"/>
      <c r="E4" s="262"/>
    </row>
    <row r="5" spans="1:5" ht="25.5">
      <c r="A5" s="106" t="s">
        <v>102</v>
      </c>
      <c r="B5" s="107" t="s">
        <v>103</v>
      </c>
      <c r="C5" s="261" t="s">
        <v>222</v>
      </c>
      <c r="D5" s="225"/>
      <c r="E5" s="262"/>
    </row>
    <row r="6" spans="1:5">
      <c r="A6" s="106" t="s">
        <v>104</v>
      </c>
      <c r="B6" s="107" t="s">
        <v>105</v>
      </c>
      <c r="C6" s="261">
        <v>12</v>
      </c>
      <c r="D6" s="225"/>
      <c r="E6" s="262"/>
    </row>
    <row r="7" spans="1:5">
      <c r="A7" s="263" t="s">
        <v>106</v>
      </c>
      <c r="B7" s="264"/>
      <c r="C7" s="264"/>
      <c r="D7" s="264"/>
      <c r="E7" s="265"/>
    </row>
    <row r="8" spans="1:5">
      <c r="A8" s="266" t="s">
        <v>107</v>
      </c>
      <c r="B8" s="267"/>
      <c r="C8" s="267"/>
      <c r="D8" s="267"/>
      <c r="E8" s="268"/>
    </row>
    <row r="9" spans="1:5">
      <c r="A9" s="255" t="s">
        <v>108</v>
      </c>
      <c r="B9" s="269"/>
      <c r="C9" s="269"/>
      <c r="D9" s="269"/>
      <c r="E9" s="270"/>
    </row>
    <row r="10" spans="1:5" ht="25.5">
      <c r="A10" s="106"/>
      <c r="B10" s="56" t="s">
        <v>109</v>
      </c>
      <c r="C10" s="271" t="s">
        <v>98</v>
      </c>
      <c r="D10" s="272"/>
      <c r="E10" s="273"/>
    </row>
    <row r="11" spans="1:5" ht="25.5">
      <c r="A11" s="106">
        <v>2</v>
      </c>
      <c r="B11" s="108" t="s">
        <v>110</v>
      </c>
      <c r="C11" s="109"/>
      <c r="D11" s="110"/>
      <c r="E11" s="111">
        <v>1497.22</v>
      </c>
    </row>
    <row r="12" spans="1:5" ht="25.5">
      <c r="A12" s="106">
        <v>3</v>
      </c>
      <c r="B12" s="56" t="s">
        <v>111</v>
      </c>
      <c r="C12" s="271" t="s">
        <v>223</v>
      </c>
      <c r="D12" s="272"/>
      <c r="E12" s="273"/>
    </row>
    <row r="13" spans="1:5">
      <c r="A13" s="106">
        <v>4</v>
      </c>
      <c r="B13" s="64" t="s">
        <v>113</v>
      </c>
      <c r="C13" s="274">
        <v>44621</v>
      </c>
      <c r="D13" s="275"/>
      <c r="E13" s="276"/>
    </row>
    <row r="14" spans="1:5">
      <c r="A14" s="277" t="s">
        <v>114</v>
      </c>
      <c r="B14" s="233"/>
      <c r="C14" s="233"/>
      <c r="D14" s="278"/>
      <c r="E14" s="112"/>
    </row>
    <row r="15" spans="1:5">
      <c r="A15" s="113">
        <v>1</v>
      </c>
      <c r="B15" s="279" t="s">
        <v>115</v>
      </c>
      <c r="C15" s="280"/>
      <c r="D15" s="281"/>
      <c r="E15" s="114" t="s">
        <v>116</v>
      </c>
    </row>
    <row r="16" spans="1:5" ht="24.75" customHeight="1">
      <c r="A16" s="103" t="s">
        <v>99</v>
      </c>
      <c r="B16" s="282" t="s">
        <v>224</v>
      </c>
      <c r="C16" s="283"/>
      <c r="D16" s="115">
        <v>15.21</v>
      </c>
      <c r="E16" s="116">
        <f>(E11/220)*D16</f>
        <v>103.51</v>
      </c>
    </row>
    <row r="17" spans="1:5">
      <c r="A17" s="103" t="s">
        <v>101</v>
      </c>
      <c r="B17" s="66" t="s">
        <v>119</v>
      </c>
      <c r="C17" s="117">
        <v>0</v>
      </c>
      <c r="D17" s="118"/>
      <c r="E17" s="119">
        <f>D17*C17</f>
        <v>0</v>
      </c>
    </row>
    <row r="18" spans="1:5">
      <c r="A18" s="103" t="s">
        <v>102</v>
      </c>
      <c r="B18" s="284" t="s">
        <v>225</v>
      </c>
      <c r="C18" s="285"/>
      <c r="D18" s="286"/>
      <c r="E18" s="119">
        <f>(E16)/25*5</f>
        <v>20.7</v>
      </c>
    </row>
    <row r="19" spans="1:5" ht="21.75" customHeight="1">
      <c r="A19" s="103" t="s">
        <v>120</v>
      </c>
      <c r="B19" s="287" t="s">
        <v>121</v>
      </c>
      <c r="C19" s="288"/>
      <c r="D19" s="289"/>
      <c r="E19" s="120">
        <f>SUM(E16:E18)</f>
        <v>124.21</v>
      </c>
    </row>
    <row r="20" spans="1:5" ht="25.5" customHeight="1">
      <c r="A20" s="103" t="s">
        <v>104</v>
      </c>
      <c r="B20" s="63" t="s">
        <v>226</v>
      </c>
      <c r="C20" s="290">
        <v>0.3</v>
      </c>
      <c r="D20" s="291"/>
      <c r="E20" s="119">
        <f>E19*C20</f>
        <v>37.26</v>
      </c>
    </row>
    <row r="21" spans="1:5">
      <c r="A21" s="292" t="s">
        <v>123</v>
      </c>
      <c r="B21" s="230"/>
      <c r="C21" s="230"/>
      <c r="D21" s="293"/>
      <c r="E21" s="121">
        <f>SUM(E19:E20)</f>
        <v>161.47</v>
      </c>
    </row>
    <row r="22" spans="1:5">
      <c r="A22" s="277" t="s">
        <v>124</v>
      </c>
      <c r="B22" s="294"/>
      <c r="C22" s="294"/>
      <c r="D22" s="295"/>
      <c r="E22" s="122"/>
    </row>
    <row r="23" spans="1:5">
      <c r="A23" s="113" t="s">
        <v>125</v>
      </c>
      <c r="B23" s="279" t="s">
        <v>126</v>
      </c>
      <c r="C23" s="280"/>
      <c r="D23" s="281"/>
      <c r="E23" s="114" t="s">
        <v>116</v>
      </c>
    </row>
    <row r="24" spans="1:5">
      <c r="A24" s="123" t="s">
        <v>99</v>
      </c>
      <c r="B24" s="91" t="s">
        <v>127</v>
      </c>
      <c r="C24" s="64"/>
      <c r="D24" s="75">
        <f>1/12</f>
        <v>8.3299999999999999E-2</v>
      </c>
      <c r="E24" s="112">
        <f t="shared" ref="E24:E25" si="0">ROUND(+$E$21*D24,2)</f>
        <v>13.45</v>
      </c>
    </row>
    <row r="25" spans="1:5">
      <c r="A25" s="123" t="s">
        <v>101</v>
      </c>
      <c r="B25" s="91" t="s">
        <v>227</v>
      </c>
      <c r="C25" s="64"/>
      <c r="D25" s="75">
        <v>0.1111</v>
      </c>
      <c r="E25" s="112">
        <f t="shared" si="0"/>
        <v>17.940000000000001</v>
      </c>
    </row>
    <row r="26" spans="1:5">
      <c r="A26" s="292" t="s">
        <v>129</v>
      </c>
      <c r="B26" s="230"/>
      <c r="C26" s="296"/>
      <c r="D26" s="77">
        <f>SUM(D24:D25)</f>
        <v>0.19439999999999999</v>
      </c>
      <c r="E26" s="121">
        <f>SUM(E24:E25)</f>
        <v>31.39</v>
      </c>
    </row>
    <row r="27" spans="1:5" ht="29.25" customHeight="1">
      <c r="A27" s="297" t="s">
        <v>130</v>
      </c>
      <c r="B27" s="298"/>
      <c r="C27" s="298"/>
      <c r="D27" s="298"/>
      <c r="E27" s="299"/>
    </row>
    <row r="28" spans="1:5">
      <c r="A28" s="113" t="s">
        <v>131</v>
      </c>
      <c r="B28" s="279" t="s">
        <v>132</v>
      </c>
      <c r="C28" s="280"/>
      <c r="D28" s="281"/>
      <c r="E28" s="114" t="s">
        <v>116</v>
      </c>
    </row>
    <row r="29" spans="1:5">
      <c r="A29" s="123" t="s">
        <v>99</v>
      </c>
      <c r="B29" s="93" t="s">
        <v>133</v>
      </c>
      <c r="C29" s="64"/>
      <c r="D29" s="75">
        <v>0.2</v>
      </c>
      <c r="E29" s="112">
        <f>(E21+E26)*D29</f>
        <v>38.57</v>
      </c>
    </row>
    <row r="30" spans="1:5">
      <c r="A30" s="123" t="s">
        <v>101</v>
      </c>
      <c r="B30" s="96" t="s">
        <v>134</v>
      </c>
      <c r="C30" s="64"/>
      <c r="D30" s="75">
        <v>1.4999999999999999E-2</v>
      </c>
      <c r="E30" s="112">
        <f>(E21+E26)*D30</f>
        <v>2.89</v>
      </c>
    </row>
    <row r="31" spans="1:5">
      <c r="A31" s="123" t="s">
        <v>102</v>
      </c>
      <c r="B31" s="64" t="s">
        <v>228</v>
      </c>
      <c r="C31" s="64"/>
      <c r="D31" s="75">
        <v>0.01</v>
      </c>
      <c r="E31" s="112">
        <f>(E21+E26)*D31</f>
        <v>1.93</v>
      </c>
    </row>
    <row r="32" spans="1:5">
      <c r="A32" s="123" t="s">
        <v>104</v>
      </c>
      <c r="B32" s="124" t="s">
        <v>136</v>
      </c>
      <c r="C32" s="64"/>
      <c r="D32" s="75">
        <v>2E-3</v>
      </c>
      <c r="E32" s="112">
        <f>(E21+E26)*D32</f>
        <v>0.39</v>
      </c>
    </row>
    <row r="33" spans="1:5">
      <c r="A33" s="123" t="s">
        <v>137</v>
      </c>
      <c r="B33" s="64" t="s">
        <v>229</v>
      </c>
      <c r="C33" s="64"/>
      <c r="D33" s="75">
        <v>2.5000000000000001E-2</v>
      </c>
      <c r="E33" s="112">
        <f>(E21+E26)*D33</f>
        <v>4.82</v>
      </c>
    </row>
    <row r="34" spans="1:5">
      <c r="A34" s="123" t="s">
        <v>139</v>
      </c>
      <c r="B34" s="96" t="s">
        <v>140</v>
      </c>
      <c r="C34" s="64"/>
      <c r="D34" s="75">
        <v>0.08</v>
      </c>
      <c r="E34" s="112">
        <f>(E21+E26)*D34</f>
        <v>15.43</v>
      </c>
    </row>
    <row r="35" spans="1:5">
      <c r="A35" s="123" t="s">
        <v>141</v>
      </c>
      <c r="B35" s="124" t="s">
        <v>142</v>
      </c>
      <c r="C35" s="64"/>
      <c r="D35" s="75">
        <v>0.06</v>
      </c>
      <c r="E35" s="112">
        <f>(E21+E26)*D35</f>
        <v>11.57</v>
      </c>
    </row>
    <row r="36" spans="1:5">
      <c r="A36" s="125" t="s">
        <v>143</v>
      </c>
      <c r="B36" s="126" t="s">
        <v>144</v>
      </c>
      <c r="C36" s="127"/>
      <c r="D36" s="79">
        <v>6.0000000000000001E-3</v>
      </c>
      <c r="E36" s="122">
        <f>(E21+E26)*D36</f>
        <v>1.1599999999999999</v>
      </c>
    </row>
    <row r="37" spans="1:5">
      <c r="A37" s="292" t="s">
        <v>129</v>
      </c>
      <c r="B37" s="230"/>
      <c r="C37" s="296"/>
      <c r="D37" s="77">
        <f>SUM(D29:D36)</f>
        <v>0.39800000000000002</v>
      </c>
      <c r="E37" s="121">
        <f>SUM(E29:E36)</f>
        <v>76.760000000000005</v>
      </c>
    </row>
    <row r="38" spans="1:5">
      <c r="A38" s="113" t="s">
        <v>145</v>
      </c>
      <c r="B38" s="279" t="s">
        <v>146</v>
      </c>
      <c r="C38" s="280"/>
      <c r="D38" s="281"/>
      <c r="E38" s="114" t="s">
        <v>116</v>
      </c>
    </row>
    <row r="39" spans="1:5">
      <c r="A39" s="123" t="s">
        <v>99</v>
      </c>
      <c r="B39" s="128" t="s">
        <v>230</v>
      </c>
      <c r="C39" s="95"/>
      <c r="D39" s="129"/>
      <c r="E39" s="82">
        <f>(30*4.05)-(E16*0.06*50%)</f>
        <v>118.39</v>
      </c>
    </row>
    <row r="40" spans="1:5">
      <c r="A40" s="123" t="s">
        <v>101</v>
      </c>
      <c r="B40" s="300" t="s">
        <v>231</v>
      </c>
      <c r="C40" s="239"/>
      <c r="D40" s="301"/>
      <c r="E40" s="65">
        <f>(3*D16)-(3*D16*1%)</f>
        <v>45.17</v>
      </c>
    </row>
    <row r="41" spans="1:5">
      <c r="A41" s="123" t="s">
        <v>102</v>
      </c>
      <c r="B41" s="300" t="s">
        <v>232</v>
      </c>
      <c r="C41" s="239"/>
      <c r="D41" s="301"/>
      <c r="E41" s="65">
        <f>(((E16*16%)-(E16*1%))/12)</f>
        <v>1.29</v>
      </c>
    </row>
    <row r="42" spans="1:5">
      <c r="A42" s="123" t="s">
        <v>104</v>
      </c>
      <c r="B42" s="95" t="s">
        <v>150</v>
      </c>
      <c r="C42" s="130" t="s">
        <v>233</v>
      </c>
      <c r="D42" s="85">
        <v>12.51</v>
      </c>
      <c r="E42" s="82">
        <f t="shared" ref="E42:E43" si="1">D42</f>
        <v>12.51</v>
      </c>
    </row>
    <row r="43" spans="1:5" ht="25.5">
      <c r="A43" s="123" t="s">
        <v>137</v>
      </c>
      <c r="B43" s="95" t="s">
        <v>151</v>
      </c>
      <c r="C43" s="130" t="s">
        <v>234</v>
      </c>
      <c r="D43" s="85">
        <v>8.5</v>
      </c>
      <c r="E43" s="82">
        <f t="shared" si="1"/>
        <v>8.5</v>
      </c>
    </row>
    <row r="44" spans="1:5">
      <c r="A44" s="292" t="s">
        <v>152</v>
      </c>
      <c r="B44" s="230"/>
      <c r="C44" s="230"/>
      <c r="D44" s="293"/>
      <c r="E44" s="121">
        <f>SUM(E39:E43)</f>
        <v>185.86</v>
      </c>
    </row>
    <row r="45" spans="1:5">
      <c r="A45" s="277" t="s">
        <v>153</v>
      </c>
      <c r="B45" s="233"/>
      <c r="C45" s="233"/>
      <c r="D45" s="278"/>
      <c r="E45" s="112"/>
    </row>
    <row r="46" spans="1:5">
      <c r="A46" s="113" t="s">
        <v>125</v>
      </c>
      <c r="B46" s="279" t="s">
        <v>154</v>
      </c>
      <c r="C46" s="280"/>
      <c r="D46" s="281"/>
      <c r="E46" s="114">
        <f>E26</f>
        <v>31.39</v>
      </c>
    </row>
    <row r="47" spans="1:5">
      <c r="A47" s="113" t="s">
        <v>131</v>
      </c>
      <c r="B47" s="91" t="s">
        <v>155</v>
      </c>
      <c r="C47" s="64"/>
      <c r="D47" s="100" t="s">
        <v>120</v>
      </c>
      <c r="E47" s="112">
        <f>E37</f>
        <v>76.760000000000005</v>
      </c>
    </row>
    <row r="48" spans="1:5">
      <c r="A48" s="113" t="s">
        <v>145</v>
      </c>
      <c r="B48" s="91" t="s">
        <v>156</v>
      </c>
      <c r="C48" s="64"/>
      <c r="D48" s="100" t="s">
        <v>120</v>
      </c>
      <c r="E48" s="112">
        <f>E44</f>
        <v>185.86</v>
      </c>
    </row>
    <row r="49" spans="1:15">
      <c r="A49" s="292" t="s">
        <v>129</v>
      </c>
      <c r="B49" s="230"/>
      <c r="C49" s="296"/>
      <c r="D49" s="87" t="s">
        <v>120</v>
      </c>
      <c r="E49" s="121">
        <f>SUM(E46:E48)</f>
        <v>294.01</v>
      </c>
    </row>
    <row r="50" spans="1:15">
      <c r="A50" s="277" t="s">
        <v>157</v>
      </c>
      <c r="B50" s="233"/>
      <c r="C50" s="233"/>
      <c r="D50" s="278"/>
      <c r="E50" s="112"/>
    </row>
    <row r="51" spans="1:15">
      <c r="A51" s="113" t="s">
        <v>158</v>
      </c>
      <c r="B51" s="279" t="s">
        <v>159</v>
      </c>
      <c r="C51" s="280"/>
      <c r="D51" s="281"/>
      <c r="E51" s="114" t="s">
        <v>116</v>
      </c>
    </row>
    <row r="52" spans="1:15">
      <c r="A52" s="123" t="s">
        <v>99</v>
      </c>
      <c r="B52" s="91" t="s">
        <v>160</v>
      </c>
      <c r="C52" s="96"/>
      <c r="D52" s="75">
        <v>4.5999999999999999E-3</v>
      </c>
      <c r="E52" s="112">
        <f t="shared" ref="E52:E56" si="2">ROUND(+D52*$E$21,2)</f>
        <v>0.74</v>
      </c>
    </row>
    <row r="53" spans="1:15" ht="25.5">
      <c r="A53" s="123" t="s">
        <v>101</v>
      </c>
      <c r="B53" s="95" t="s">
        <v>161</v>
      </c>
      <c r="C53" s="96"/>
      <c r="D53" s="75">
        <f>D34*D52</f>
        <v>4.0000000000000002E-4</v>
      </c>
      <c r="E53" s="112">
        <f t="shared" si="2"/>
        <v>0.06</v>
      </c>
    </row>
    <row r="54" spans="1:15">
      <c r="A54" s="123" t="s">
        <v>102</v>
      </c>
      <c r="B54" s="131" t="s">
        <v>162</v>
      </c>
      <c r="C54" s="96"/>
      <c r="D54" s="75">
        <v>1.9400000000000001E-2</v>
      </c>
      <c r="E54" s="112">
        <f t="shared" si="2"/>
        <v>3.13</v>
      </c>
    </row>
    <row r="55" spans="1:15" ht="25.5">
      <c r="A55" s="123" t="s">
        <v>104</v>
      </c>
      <c r="B55" s="95" t="s">
        <v>163</v>
      </c>
      <c r="C55" s="96"/>
      <c r="D55" s="75">
        <f>D37*D54</f>
        <v>7.7000000000000002E-3</v>
      </c>
      <c r="E55" s="112">
        <f t="shared" si="2"/>
        <v>1.24</v>
      </c>
    </row>
    <row r="56" spans="1:15" ht="51">
      <c r="A56" s="123" t="s">
        <v>137</v>
      </c>
      <c r="B56" s="95" t="s">
        <v>164</v>
      </c>
      <c r="C56" s="96"/>
      <c r="D56" s="75">
        <f>4%</f>
        <v>0.04</v>
      </c>
      <c r="E56" s="112">
        <f t="shared" si="2"/>
        <v>6.46</v>
      </c>
    </row>
    <row r="57" spans="1:15">
      <c r="A57" s="292" t="s">
        <v>129</v>
      </c>
      <c r="B57" s="230"/>
      <c r="C57" s="230"/>
      <c r="D57" s="88">
        <f>SUM(D52:D56)</f>
        <v>7.2099999999999997E-2</v>
      </c>
      <c r="E57" s="121">
        <f>SUM(E52:E56)</f>
        <v>11.63</v>
      </c>
    </row>
    <row r="58" spans="1:15">
      <c r="A58" s="277" t="s">
        <v>165</v>
      </c>
      <c r="B58" s="233"/>
      <c r="C58" s="233"/>
      <c r="D58" s="278"/>
      <c r="E58" s="112"/>
    </row>
    <row r="59" spans="1:15">
      <c r="A59" s="113" t="s">
        <v>166</v>
      </c>
      <c r="B59" s="302" t="s">
        <v>167</v>
      </c>
      <c r="C59" s="233"/>
      <c r="D59" s="278"/>
      <c r="E59" s="114" t="s">
        <v>116</v>
      </c>
    </row>
    <row r="60" spans="1:15">
      <c r="A60" s="123" t="s">
        <v>99</v>
      </c>
      <c r="B60" s="91" t="s">
        <v>235</v>
      </c>
      <c r="C60" s="64"/>
      <c r="D60" s="75">
        <f>((1+1/3)/12)/12</f>
        <v>9.2999999999999992E-3</v>
      </c>
      <c r="E60" s="112">
        <f>(E21+E49+E57+E78)*D60</f>
        <v>5.18</v>
      </c>
    </row>
    <row r="61" spans="1:15" ht="25.5">
      <c r="A61" s="123" t="s">
        <v>101</v>
      </c>
      <c r="B61" s="91" t="s">
        <v>169</v>
      </c>
      <c r="C61" s="64"/>
      <c r="D61" s="75">
        <v>1.66E-2</v>
      </c>
      <c r="E61" s="112">
        <f>(E21+E49+E57+E78)*D61</f>
        <v>9.24</v>
      </c>
      <c r="F61" s="303" t="s">
        <v>170</v>
      </c>
      <c r="G61" s="304"/>
      <c r="H61" s="304"/>
      <c r="I61" s="304"/>
      <c r="J61" s="304"/>
      <c r="K61" s="304"/>
      <c r="L61" s="304"/>
      <c r="M61" s="304"/>
    </row>
    <row r="62" spans="1:15" ht="25.5">
      <c r="A62" s="123" t="s">
        <v>102</v>
      </c>
      <c r="B62" s="91" t="s">
        <v>171</v>
      </c>
      <c r="C62" s="64"/>
      <c r="D62" s="75">
        <f>(5/30)*(1/12)*6.24%*95.04%</f>
        <v>8.0000000000000004E-4</v>
      </c>
      <c r="E62" s="112">
        <f>(E21+E49+E57+E78)*D62</f>
        <v>0.45</v>
      </c>
      <c r="F62" s="305" t="s">
        <v>172</v>
      </c>
      <c r="G62" s="306"/>
      <c r="H62" s="306"/>
      <c r="I62" s="306"/>
      <c r="J62" s="306"/>
      <c r="K62" s="306"/>
      <c r="L62" s="306"/>
      <c r="M62" s="306"/>
      <c r="N62" s="306"/>
      <c r="O62" s="306"/>
    </row>
    <row r="63" spans="1:15" ht="25.5">
      <c r="A63" s="123" t="s">
        <v>104</v>
      </c>
      <c r="B63" s="91" t="s">
        <v>173</v>
      </c>
      <c r="C63" s="64"/>
      <c r="D63" s="75">
        <f>(1/30)*(1/12)</f>
        <v>2.8E-3</v>
      </c>
      <c r="E63" s="112">
        <f>(E21+E49+E57+E78)*D63</f>
        <v>1.56</v>
      </c>
      <c r="F63" s="307" t="s">
        <v>174</v>
      </c>
      <c r="G63" s="308"/>
      <c r="H63" s="308"/>
      <c r="I63" s="308"/>
      <c r="J63" s="308"/>
      <c r="K63" s="308"/>
      <c r="L63" s="308"/>
      <c r="M63" s="308"/>
      <c r="N63" s="308"/>
      <c r="O63" s="308"/>
    </row>
    <row r="64" spans="1:15" ht="25.5">
      <c r="A64" s="123" t="s">
        <v>137</v>
      </c>
      <c r="B64" s="91" t="s">
        <v>175</v>
      </c>
      <c r="C64" s="64"/>
      <c r="D64" s="75">
        <f>(0.91/30)*(1/12)</f>
        <v>2.5000000000000001E-3</v>
      </c>
      <c r="E64" s="112">
        <f>(E21+E49+E57+E78)*D64</f>
        <v>1.39</v>
      </c>
      <c r="F64" s="307" t="s">
        <v>176</v>
      </c>
      <c r="G64" s="308"/>
      <c r="H64" s="308"/>
      <c r="I64" s="308"/>
      <c r="J64" s="308"/>
      <c r="K64" s="308"/>
      <c r="L64" s="308"/>
      <c r="M64" s="308"/>
      <c r="N64" s="308"/>
      <c r="O64" s="308"/>
    </row>
    <row r="65" spans="1:15" ht="25.5" customHeight="1">
      <c r="A65" s="123" t="s">
        <v>139</v>
      </c>
      <c r="B65" s="309" t="s">
        <v>236</v>
      </c>
      <c r="C65" s="310"/>
      <c r="D65" s="132">
        <f>(7/30)*(1/24)</f>
        <v>9.7000000000000003E-3</v>
      </c>
      <c r="E65" s="112">
        <f>(E21+E49+E57+E78)*D65</f>
        <v>5.4</v>
      </c>
      <c r="F65" s="307" t="s">
        <v>177</v>
      </c>
      <c r="G65" s="308"/>
      <c r="H65" s="308"/>
      <c r="I65" s="308"/>
      <c r="J65" s="308"/>
      <c r="K65" s="308"/>
      <c r="L65" s="308"/>
      <c r="M65" s="308"/>
      <c r="N65" s="308"/>
      <c r="O65" s="308"/>
    </row>
    <row r="66" spans="1:15">
      <c r="A66" s="292" t="s">
        <v>178</v>
      </c>
      <c r="B66" s="230"/>
      <c r="C66" s="293"/>
      <c r="D66" s="88">
        <f>SUM(D60:D65)</f>
        <v>4.1700000000000001E-2</v>
      </c>
      <c r="E66" s="121">
        <f>SUM(E60:E65)</f>
        <v>23.22</v>
      </c>
    </row>
    <row r="67" spans="1:15">
      <c r="A67" s="277"/>
      <c r="B67" s="233"/>
      <c r="C67" s="233"/>
      <c r="D67" s="278"/>
      <c r="E67" s="112"/>
    </row>
    <row r="68" spans="1:15">
      <c r="A68" s="113" t="s">
        <v>120</v>
      </c>
      <c r="B68" s="279" t="s">
        <v>179</v>
      </c>
      <c r="C68" s="280"/>
      <c r="D68" s="281"/>
      <c r="E68" s="114" t="s">
        <v>116</v>
      </c>
    </row>
    <row r="69" spans="1:15">
      <c r="A69" s="123" t="s">
        <v>99</v>
      </c>
      <c r="B69" s="91" t="s">
        <v>237</v>
      </c>
      <c r="C69" s="64"/>
      <c r="D69" s="75"/>
      <c r="E69" s="112">
        <f>0</f>
        <v>0</v>
      </c>
      <c r="G69" s="89"/>
    </row>
    <row r="70" spans="1:15">
      <c r="A70" s="292" t="s">
        <v>129</v>
      </c>
      <c r="B70" s="230"/>
      <c r="C70" s="230"/>
      <c r="D70" s="77"/>
      <c r="E70" s="121">
        <f>E69</f>
        <v>0</v>
      </c>
    </row>
    <row r="71" spans="1:15">
      <c r="A71" s="277" t="s">
        <v>181</v>
      </c>
      <c r="B71" s="233"/>
      <c r="C71" s="233"/>
      <c r="D71" s="278"/>
      <c r="E71" s="112"/>
    </row>
    <row r="72" spans="1:15">
      <c r="A72" s="113">
        <v>4</v>
      </c>
      <c r="B72" s="279" t="s">
        <v>182</v>
      </c>
      <c r="C72" s="280"/>
      <c r="D72" s="281"/>
      <c r="E72" s="114" t="s">
        <v>116</v>
      </c>
    </row>
    <row r="73" spans="1:15">
      <c r="A73" s="123" t="s">
        <v>166</v>
      </c>
      <c r="B73" s="91" t="s">
        <v>167</v>
      </c>
      <c r="C73" s="64"/>
      <c r="D73" s="75">
        <f>D66</f>
        <v>4.1700000000000001E-2</v>
      </c>
      <c r="E73" s="112">
        <f>E66</f>
        <v>23.22</v>
      </c>
    </row>
    <row r="74" spans="1:15">
      <c r="A74" s="123" t="s">
        <v>183</v>
      </c>
      <c r="B74" s="91" t="s">
        <v>179</v>
      </c>
      <c r="C74" s="96"/>
      <c r="D74" s="75"/>
      <c r="E74" s="112">
        <f>E70</f>
        <v>0</v>
      </c>
    </row>
    <row r="75" spans="1:15">
      <c r="A75" s="292" t="s">
        <v>184</v>
      </c>
      <c r="B75" s="230"/>
      <c r="C75" s="293"/>
      <c r="D75" s="88">
        <f>SUM(D70:D74)</f>
        <v>4.1700000000000001E-2</v>
      </c>
      <c r="E75" s="121">
        <f>SUM(E73+E74)</f>
        <v>23.22</v>
      </c>
    </row>
    <row r="76" spans="1:15">
      <c r="A76" s="277" t="s">
        <v>185</v>
      </c>
      <c r="B76" s="233"/>
      <c r="C76" s="233"/>
      <c r="D76" s="278"/>
      <c r="E76" s="112"/>
    </row>
    <row r="77" spans="1:15">
      <c r="A77" s="113">
        <v>5</v>
      </c>
      <c r="B77" s="279" t="s">
        <v>186</v>
      </c>
      <c r="C77" s="280"/>
      <c r="D77" s="281"/>
      <c r="E77" s="114" t="s">
        <v>116</v>
      </c>
    </row>
    <row r="78" spans="1:15">
      <c r="A78" s="123" t="s">
        <v>99</v>
      </c>
      <c r="B78" s="91" t="s">
        <v>187</v>
      </c>
      <c r="C78" s="96" t="s">
        <v>238</v>
      </c>
      <c r="D78" s="75" t="s">
        <v>120</v>
      </c>
      <c r="E78" s="112">
        <f>'Material e uniforme'!H13</f>
        <v>89.62</v>
      </c>
    </row>
    <row r="79" spans="1:15">
      <c r="A79" s="123" t="s">
        <v>101</v>
      </c>
      <c r="B79" s="91" t="s">
        <v>188</v>
      </c>
      <c r="C79" s="64"/>
      <c r="D79" s="75"/>
      <c r="E79" s="112">
        <f>0</f>
        <v>0</v>
      </c>
    </row>
    <row r="80" spans="1:15">
      <c r="A80" s="123" t="s">
        <v>102</v>
      </c>
      <c r="B80" s="91" t="s">
        <v>189</v>
      </c>
      <c r="C80" s="64"/>
      <c r="D80" s="75"/>
      <c r="E80" s="112">
        <v>0</v>
      </c>
    </row>
    <row r="81" spans="1:5">
      <c r="A81" s="123" t="s">
        <v>104</v>
      </c>
      <c r="B81" s="91" t="s">
        <v>239</v>
      </c>
      <c r="C81" s="96" t="s">
        <v>240</v>
      </c>
      <c r="D81" s="75"/>
      <c r="E81" s="112">
        <v>29.92</v>
      </c>
    </row>
    <row r="82" spans="1:5">
      <c r="A82" s="292" t="s">
        <v>191</v>
      </c>
      <c r="B82" s="230"/>
      <c r="C82" s="293"/>
      <c r="D82" s="88" t="s">
        <v>120</v>
      </c>
      <c r="E82" s="121">
        <f>SUM(E78:E81)</f>
        <v>119.54</v>
      </c>
    </row>
    <row r="83" spans="1:5" ht="18" customHeight="1">
      <c r="A83" s="311" t="s">
        <v>241</v>
      </c>
      <c r="B83" s="245"/>
      <c r="C83" s="245"/>
      <c r="D83" s="245"/>
      <c r="E83" s="312"/>
    </row>
    <row r="84" spans="1:5">
      <c r="A84" s="313" t="s">
        <v>208</v>
      </c>
      <c r="B84" s="243"/>
      <c r="C84" s="243"/>
      <c r="D84" s="314"/>
      <c r="E84" s="133" t="s">
        <v>116</v>
      </c>
    </row>
    <row r="85" spans="1:5">
      <c r="A85" s="113" t="s">
        <v>99</v>
      </c>
      <c r="B85" s="279" t="s">
        <v>209</v>
      </c>
      <c r="C85" s="236"/>
      <c r="D85" s="323"/>
      <c r="E85" s="112">
        <f>+E21</f>
        <v>161.47</v>
      </c>
    </row>
    <row r="86" spans="1:5">
      <c r="A86" s="113" t="s">
        <v>101</v>
      </c>
      <c r="B86" s="279" t="s">
        <v>210</v>
      </c>
      <c r="C86" s="236"/>
      <c r="D86" s="323"/>
      <c r="E86" s="112">
        <f>E49</f>
        <v>294.01</v>
      </c>
    </row>
    <row r="87" spans="1:5">
      <c r="A87" s="113" t="s">
        <v>102</v>
      </c>
      <c r="B87" s="279" t="s">
        <v>211</v>
      </c>
      <c r="C87" s="236"/>
      <c r="D87" s="323"/>
      <c r="E87" s="112">
        <f>E57</f>
        <v>11.63</v>
      </c>
    </row>
    <row r="88" spans="1:5">
      <c r="A88" s="113" t="s">
        <v>104</v>
      </c>
      <c r="B88" s="279" t="s">
        <v>212</v>
      </c>
      <c r="C88" s="236"/>
      <c r="D88" s="323"/>
      <c r="E88" s="112">
        <f>E75</f>
        <v>23.22</v>
      </c>
    </row>
    <row r="89" spans="1:5">
      <c r="A89" s="134" t="s">
        <v>137</v>
      </c>
      <c r="B89" s="324" t="s">
        <v>213</v>
      </c>
      <c r="C89" s="325"/>
      <c r="D89" s="326"/>
      <c r="E89" s="135">
        <f>E82</f>
        <v>119.54</v>
      </c>
    </row>
    <row r="90" spans="1:5">
      <c r="A90" s="315" t="s">
        <v>216</v>
      </c>
      <c r="B90" s="316"/>
      <c r="C90" s="316"/>
      <c r="D90" s="317"/>
      <c r="E90" s="136">
        <f>SUM(E85:E89)</f>
        <v>609.87</v>
      </c>
    </row>
    <row r="91" spans="1:5" hidden="1">
      <c r="A91" s="318" t="s">
        <v>242</v>
      </c>
      <c r="B91" s="319"/>
      <c r="C91" s="319"/>
      <c r="D91" s="319"/>
      <c r="E91" s="137">
        <f>E90*2</f>
        <v>1219.74</v>
      </c>
    </row>
    <row r="92" spans="1:5" ht="13.5" hidden="1" customHeight="1">
      <c r="A92" s="320"/>
      <c r="B92" s="321"/>
      <c r="C92" s="321"/>
      <c r="D92" s="321"/>
      <c r="E92" s="322"/>
    </row>
  </sheetData>
  <mergeCells count="63">
    <mergeCell ref="A90:D90"/>
    <mergeCell ref="A91:D91"/>
    <mergeCell ref="A92:E92"/>
    <mergeCell ref="B85:D85"/>
    <mergeCell ref="B86:D86"/>
    <mergeCell ref="B87:D87"/>
    <mergeCell ref="B88:D88"/>
    <mergeCell ref="B89:D89"/>
    <mergeCell ref="A76:D76"/>
    <mergeCell ref="B77:D77"/>
    <mergeCell ref="A82:C82"/>
    <mergeCell ref="A83:E83"/>
    <mergeCell ref="A84:D84"/>
    <mergeCell ref="B68:D68"/>
    <mergeCell ref="A70:C70"/>
    <mergeCell ref="A71:D71"/>
    <mergeCell ref="B72:D72"/>
    <mergeCell ref="A75:C75"/>
    <mergeCell ref="F64:O64"/>
    <mergeCell ref="B65:C65"/>
    <mergeCell ref="F65:O65"/>
    <mergeCell ref="A66:C66"/>
    <mergeCell ref="A67:D67"/>
    <mergeCell ref="A58:D58"/>
    <mergeCell ref="B59:D59"/>
    <mergeCell ref="F61:M61"/>
    <mergeCell ref="F62:O62"/>
    <mergeCell ref="F63:O63"/>
    <mergeCell ref="B46:D46"/>
    <mergeCell ref="A49:C49"/>
    <mergeCell ref="A50:D50"/>
    <mergeCell ref="B51:D51"/>
    <mergeCell ref="A57:C57"/>
    <mergeCell ref="B38:D38"/>
    <mergeCell ref="B40:D40"/>
    <mergeCell ref="B41:D41"/>
    <mergeCell ref="A44:D44"/>
    <mergeCell ref="A45:D45"/>
    <mergeCell ref="B23:D23"/>
    <mergeCell ref="A26:C26"/>
    <mergeCell ref="A27:E27"/>
    <mergeCell ref="B28:D28"/>
    <mergeCell ref="A37:C37"/>
    <mergeCell ref="B18:D18"/>
    <mergeCell ref="B19:D19"/>
    <mergeCell ref="C20:D20"/>
    <mergeCell ref="A21:D21"/>
    <mergeCell ref="A22:D22"/>
    <mergeCell ref="C12:E12"/>
    <mergeCell ref="C13:E13"/>
    <mergeCell ref="A14:D14"/>
    <mergeCell ref="B15:D15"/>
    <mergeCell ref="B16:C16"/>
    <mergeCell ref="C6:E6"/>
    <mergeCell ref="A7:E7"/>
    <mergeCell ref="A8:E8"/>
    <mergeCell ref="A9:E9"/>
    <mergeCell ref="C10:E10"/>
    <mergeCell ref="A1:E1"/>
    <mergeCell ref="A2:E2"/>
    <mergeCell ref="C3:E3"/>
    <mergeCell ref="C4:E4"/>
    <mergeCell ref="C5:E5"/>
  </mergeCells>
  <hyperlinks>
    <hyperlink ref="B36" r:id="rId1" xr:uid="{00000000-0004-0000-0500-000000000000}"/>
  </hyperlinks>
  <pageMargins left="0.511811024" right="0.511811024" top="0.78740157500000008" bottom="0.78740157500000008" header="0.31496062000000008" footer="0.31496062000000008"/>
  <pageSetup paperSize="9" scale="47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92"/>
  <sheetViews>
    <sheetView topLeftCell="A49" workbookViewId="0">
      <selection activeCell="H4" sqref="H4:I4"/>
    </sheetView>
  </sheetViews>
  <sheetFormatPr defaultRowHeight="15"/>
  <cols>
    <col min="1" max="1" width="11.140625" customWidth="1"/>
    <col min="2" max="2" width="34.7109375" customWidth="1"/>
    <col min="3" max="3" width="19.7109375" customWidth="1"/>
    <col min="4" max="4" width="11.7109375" customWidth="1"/>
    <col min="5" max="5" width="14.7109375" customWidth="1"/>
    <col min="14" max="14" width="13.28515625" customWidth="1"/>
    <col min="15" max="15" width="11.85546875" customWidth="1"/>
  </cols>
  <sheetData>
    <row r="1" spans="1:7" ht="21">
      <c r="A1" s="252" t="s">
        <v>219</v>
      </c>
      <c r="B1" s="253"/>
      <c r="C1" s="253"/>
      <c r="D1" s="253"/>
      <c r="E1" s="254"/>
    </row>
    <row r="2" spans="1:7">
      <c r="A2" s="255" t="s">
        <v>220</v>
      </c>
      <c r="B2" s="256"/>
      <c r="C2" s="256"/>
      <c r="D2" s="256"/>
      <c r="E2" s="257"/>
    </row>
    <row r="3" spans="1:7" ht="25.5">
      <c r="A3" s="106" t="s">
        <v>99</v>
      </c>
      <c r="B3" s="107" t="s">
        <v>100</v>
      </c>
      <c r="C3" s="258" t="s">
        <v>221</v>
      </c>
      <c r="D3" s="259"/>
      <c r="E3" s="260"/>
    </row>
    <row r="4" spans="1:7">
      <c r="A4" s="106" t="s">
        <v>101</v>
      </c>
      <c r="B4" s="107" t="s">
        <v>80</v>
      </c>
      <c r="C4" s="261" t="s">
        <v>98</v>
      </c>
      <c r="D4" s="225"/>
      <c r="E4" s="262"/>
    </row>
    <row r="5" spans="1:7" ht="25.5">
      <c r="A5" s="106" t="s">
        <v>102</v>
      </c>
      <c r="B5" s="107" t="s">
        <v>103</v>
      </c>
      <c r="C5" s="261" t="s">
        <v>222</v>
      </c>
      <c r="D5" s="225"/>
      <c r="E5" s="262"/>
    </row>
    <row r="6" spans="1:7">
      <c r="A6" s="106" t="s">
        <v>104</v>
      </c>
      <c r="B6" s="107" t="s">
        <v>105</v>
      </c>
      <c r="C6" s="261">
        <v>12</v>
      </c>
      <c r="D6" s="225"/>
      <c r="E6" s="262"/>
    </row>
    <row r="7" spans="1:7">
      <c r="A7" s="263" t="s">
        <v>106</v>
      </c>
      <c r="B7" s="264"/>
      <c r="C7" s="264"/>
      <c r="D7" s="264"/>
      <c r="E7" s="265"/>
      <c r="G7">
        <f t="shared" ref="G7:G8" si="0">F7*12</f>
        <v>0</v>
      </c>
    </row>
    <row r="8" spans="1:7">
      <c r="A8" s="266" t="s">
        <v>107</v>
      </c>
      <c r="B8" s="267"/>
      <c r="C8" s="267"/>
      <c r="D8" s="267"/>
      <c r="E8" s="268"/>
      <c r="F8">
        <f>E8*D8</f>
        <v>0</v>
      </c>
      <c r="G8">
        <f t="shared" si="0"/>
        <v>0</v>
      </c>
    </row>
    <row r="9" spans="1:7">
      <c r="A9" s="255" t="s">
        <v>108</v>
      </c>
      <c r="B9" s="269"/>
      <c r="C9" s="269"/>
      <c r="D9" s="269"/>
      <c r="E9" s="270"/>
      <c r="G9">
        <f>SUM(G7:G8)</f>
        <v>0</v>
      </c>
    </row>
    <row r="10" spans="1:7" ht="25.5">
      <c r="A10" s="106"/>
      <c r="B10" s="56" t="s">
        <v>109</v>
      </c>
      <c r="C10" s="271" t="s">
        <v>98</v>
      </c>
      <c r="D10" s="272"/>
      <c r="E10" s="273"/>
    </row>
    <row r="11" spans="1:7" ht="25.5">
      <c r="A11" s="106">
        <v>2</v>
      </c>
      <c r="B11" s="108" t="s">
        <v>110</v>
      </c>
      <c r="C11" s="109"/>
      <c r="D11" s="110"/>
      <c r="E11" s="111">
        <v>1497.22</v>
      </c>
      <c r="G11">
        <f>G9</f>
        <v>0</v>
      </c>
    </row>
    <row r="12" spans="1:7" ht="25.5">
      <c r="A12" s="106">
        <v>3</v>
      </c>
      <c r="B12" s="56" t="s">
        <v>111</v>
      </c>
      <c r="C12" s="271" t="s">
        <v>243</v>
      </c>
      <c r="D12" s="272"/>
      <c r="E12" s="273"/>
    </row>
    <row r="13" spans="1:7">
      <c r="A13" s="106">
        <v>4</v>
      </c>
      <c r="B13" s="64" t="s">
        <v>113</v>
      </c>
      <c r="C13" s="274">
        <v>44621</v>
      </c>
      <c r="D13" s="275"/>
      <c r="E13" s="276"/>
    </row>
    <row r="14" spans="1:7">
      <c r="A14" s="277" t="s">
        <v>114</v>
      </c>
      <c r="B14" s="233"/>
      <c r="C14" s="233"/>
      <c r="D14" s="278"/>
      <c r="E14" s="112"/>
    </row>
    <row r="15" spans="1:7">
      <c r="A15" s="113">
        <v>1</v>
      </c>
      <c r="B15" s="279" t="s">
        <v>115</v>
      </c>
      <c r="C15" s="280"/>
      <c r="D15" s="281"/>
      <c r="E15" s="114" t="s">
        <v>116</v>
      </c>
    </row>
    <row r="16" spans="1:7">
      <c r="A16" s="103" t="s">
        <v>99</v>
      </c>
      <c r="B16" s="63" t="s">
        <v>244</v>
      </c>
      <c r="C16" s="138"/>
      <c r="D16" s="115">
        <v>15.21</v>
      </c>
      <c r="E16" s="116">
        <f>(E11/220)*D16</f>
        <v>103.51</v>
      </c>
    </row>
    <row r="17" spans="1:5">
      <c r="A17" s="103" t="s">
        <v>101</v>
      </c>
      <c r="B17" s="66" t="s">
        <v>119</v>
      </c>
      <c r="C17" s="327">
        <v>0.25</v>
      </c>
      <c r="D17" s="328"/>
      <c r="E17" s="119">
        <f>(E11/220)*D16*C17</f>
        <v>25.88</v>
      </c>
    </row>
    <row r="18" spans="1:5">
      <c r="A18" s="103" t="s">
        <v>104</v>
      </c>
      <c r="B18" s="284" t="s">
        <v>225</v>
      </c>
      <c r="C18" s="285"/>
      <c r="D18" s="286"/>
      <c r="E18" s="119">
        <f>(E16+E17)/25*5</f>
        <v>25.88</v>
      </c>
    </row>
    <row r="19" spans="1:5" ht="21.75" customHeight="1">
      <c r="A19" s="103" t="s">
        <v>120</v>
      </c>
      <c r="B19" s="287" t="s">
        <v>121</v>
      </c>
      <c r="C19" s="288"/>
      <c r="D19" s="289"/>
      <c r="E19" s="120">
        <f>SUM(E16:E18)</f>
        <v>155.27000000000001</v>
      </c>
    </row>
    <row r="20" spans="1:5">
      <c r="A20" s="103" t="s">
        <v>102</v>
      </c>
      <c r="B20" s="63" t="s">
        <v>226</v>
      </c>
      <c r="C20" s="290">
        <v>0.3</v>
      </c>
      <c r="D20" s="291"/>
      <c r="E20" s="119">
        <f>E19*C20</f>
        <v>46.58</v>
      </c>
    </row>
    <row r="21" spans="1:5">
      <c r="A21" s="292" t="s">
        <v>123</v>
      </c>
      <c r="B21" s="230"/>
      <c r="C21" s="230"/>
      <c r="D21" s="293"/>
      <c r="E21" s="121">
        <f>SUM(E19:E20)</f>
        <v>201.85</v>
      </c>
    </row>
    <row r="22" spans="1:5">
      <c r="A22" s="277" t="s">
        <v>124</v>
      </c>
      <c r="B22" s="294"/>
      <c r="C22" s="294"/>
      <c r="D22" s="295"/>
      <c r="E22" s="122"/>
    </row>
    <row r="23" spans="1:5">
      <c r="A23" s="113" t="s">
        <v>125</v>
      </c>
      <c r="B23" s="279" t="s">
        <v>126</v>
      </c>
      <c r="C23" s="280"/>
      <c r="D23" s="281"/>
      <c r="E23" s="114" t="s">
        <v>116</v>
      </c>
    </row>
    <row r="24" spans="1:5">
      <c r="A24" s="123" t="s">
        <v>99</v>
      </c>
      <c r="B24" s="91" t="s">
        <v>127</v>
      </c>
      <c r="C24" s="64"/>
      <c r="D24" s="75">
        <f>1/12</f>
        <v>8.3299999999999999E-2</v>
      </c>
      <c r="E24" s="112">
        <f t="shared" ref="E24:E25" si="1">ROUND(+$E$21*D24,2)</f>
        <v>16.809999999999999</v>
      </c>
    </row>
    <row r="25" spans="1:5">
      <c r="A25" s="123" t="s">
        <v>101</v>
      </c>
      <c r="B25" s="91" t="s">
        <v>227</v>
      </c>
      <c r="C25" s="64"/>
      <c r="D25" s="75">
        <v>0.1111</v>
      </c>
      <c r="E25" s="112">
        <f t="shared" si="1"/>
        <v>22.43</v>
      </c>
    </row>
    <row r="26" spans="1:5">
      <c r="A26" s="292" t="s">
        <v>129</v>
      </c>
      <c r="B26" s="230"/>
      <c r="C26" s="296"/>
      <c r="D26" s="77">
        <f>SUM(D24:D25)</f>
        <v>0.19439999999999999</v>
      </c>
      <c r="E26" s="121">
        <f>SUM(E24:E25)</f>
        <v>39.24</v>
      </c>
    </row>
    <row r="27" spans="1:5" ht="29.25" customHeight="1">
      <c r="A27" s="297" t="s">
        <v>130</v>
      </c>
      <c r="B27" s="298"/>
      <c r="C27" s="298"/>
      <c r="D27" s="298"/>
      <c r="E27" s="299"/>
    </row>
    <row r="28" spans="1:5">
      <c r="A28" s="113" t="s">
        <v>131</v>
      </c>
      <c r="B28" s="279" t="s">
        <v>132</v>
      </c>
      <c r="C28" s="280"/>
      <c r="D28" s="281"/>
      <c r="E28" s="114" t="s">
        <v>116</v>
      </c>
    </row>
    <row r="29" spans="1:5">
      <c r="A29" s="123" t="s">
        <v>99</v>
      </c>
      <c r="B29" s="93" t="s">
        <v>133</v>
      </c>
      <c r="C29" s="64"/>
      <c r="D29" s="75">
        <v>0.2</v>
      </c>
      <c r="E29" s="112">
        <f>(E21+E26)*D29</f>
        <v>48.22</v>
      </c>
    </row>
    <row r="30" spans="1:5">
      <c r="A30" s="123" t="s">
        <v>101</v>
      </c>
      <c r="B30" s="96" t="s">
        <v>134</v>
      </c>
      <c r="C30" s="64"/>
      <c r="D30" s="75">
        <v>1.4999999999999999E-2</v>
      </c>
      <c r="E30" s="112">
        <f>(E21+E26)*D30</f>
        <v>3.62</v>
      </c>
    </row>
    <row r="31" spans="1:5">
      <c r="A31" s="123" t="s">
        <v>102</v>
      </c>
      <c r="B31" s="64" t="s">
        <v>228</v>
      </c>
      <c r="C31" s="64"/>
      <c r="D31" s="75">
        <v>0.01</v>
      </c>
      <c r="E31" s="112">
        <f>(E21+E26)*D31</f>
        <v>2.41</v>
      </c>
    </row>
    <row r="32" spans="1:5">
      <c r="A32" s="123" t="s">
        <v>104</v>
      </c>
      <c r="B32" s="124" t="s">
        <v>136</v>
      </c>
      <c r="C32" s="64"/>
      <c r="D32" s="75">
        <v>2E-3</v>
      </c>
      <c r="E32" s="112">
        <f>(E21+E26)*D32</f>
        <v>0.48</v>
      </c>
    </row>
    <row r="33" spans="1:5">
      <c r="A33" s="123" t="s">
        <v>137</v>
      </c>
      <c r="B33" s="64" t="s">
        <v>229</v>
      </c>
      <c r="C33" s="64"/>
      <c r="D33" s="75">
        <v>2.5000000000000001E-2</v>
      </c>
      <c r="E33" s="112">
        <f>(E21+E26)*D33</f>
        <v>6.03</v>
      </c>
    </row>
    <row r="34" spans="1:5">
      <c r="A34" s="123" t="s">
        <v>139</v>
      </c>
      <c r="B34" s="96" t="s">
        <v>140</v>
      </c>
      <c r="C34" s="64"/>
      <c r="D34" s="75">
        <v>0.08</v>
      </c>
      <c r="E34" s="112">
        <f>(E21+E26)*D34</f>
        <v>19.29</v>
      </c>
    </row>
    <row r="35" spans="1:5">
      <c r="A35" s="123" t="s">
        <v>141</v>
      </c>
      <c r="B35" s="124" t="s">
        <v>142</v>
      </c>
      <c r="C35" s="64"/>
      <c r="D35" s="75">
        <v>0.03</v>
      </c>
      <c r="E35" s="112">
        <f>(E21+E26)*D35</f>
        <v>7.23</v>
      </c>
    </row>
    <row r="36" spans="1:5">
      <c r="A36" s="125" t="s">
        <v>143</v>
      </c>
      <c r="B36" s="126" t="s">
        <v>144</v>
      </c>
      <c r="C36" s="127"/>
      <c r="D36" s="79">
        <v>6.0000000000000001E-3</v>
      </c>
      <c r="E36" s="122">
        <f>(E21+E26)*D36</f>
        <v>1.45</v>
      </c>
    </row>
    <row r="37" spans="1:5">
      <c r="A37" s="292" t="s">
        <v>129</v>
      </c>
      <c r="B37" s="230"/>
      <c r="C37" s="296"/>
      <c r="D37" s="77">
        <f>SUM(D29:D36)</f>
        <v>0.36799999999999999</v>
      </c>
      <c r="E37" s="121">
        <f>SUM(E29:E36)</f>
        <v>88.73</v>
      </c>
    </row>
    <row r="38" spans="1:5">
      <c r="A38" s="113" t="s">
        <v>145</v>
      </c>
      <c r="B38" s="279" t="s">
        <v>146</v>
      </c>
      <c r="C38" s="280"/>
      <c r="D38" s="281"/>
      <c r="E38" s="114" t="s">
        <v>116</v>
      </c>
    </row>
    <row r="39" spans="1:5">
      <c r="A39" s="123" t="s">
        <v>99</v>
      </c>
      <c r="B39" s="300" t="s">
        <v>230</v>
      </c>
      <c r="C39" s="239"/>
      <c r="D39" s="301"/>
      <c r="E39" s="82">
        <f>(30*4.05)-(E16*0.06*50%)</f>
        <v>118.39</v>
      </c>
    </row>
    <row r="40" spans="1:5">
      <c r="A40" s="123" t="s">
        <v>101</v>
      </c>
      <c r="B40" s="300" t="s">
        <v>231</v>
      </c>
      <c r="C40" s="239"/>
      <c r="D40" s="301"/>
      <c r="E40" s="65">
        <f>(3*D16)-(3*D16*1%)</f>
        <v>45.17</v>
      </c>
    </row>
    <row r="41" spans="1:5">
      <c r="A41" s="123" t="s">
        <v>102</v>
      </c>
      <c r="B41" s="300" t="s">
        <v>232</v>
      </c>
      <c r="C41" s="239"/>
      <c r="D41" s="301"/>
      <c r="E41" s="65">
        <f>(((E16*16%)-(E16*1%))/12)</f>
        <v>1.29</v>
      </c>
    </row>
    <row r="42" spans="1:5">
      <c r="A42" s="123" t="s">
        <v>104</v>
      </c>
      <c r="B42" s="95" t="s">
        <v>150</v>
      </c>
      <c r="C42" s="130" t="s">
        <v>233</v>
      </c>
      <c r="D42" s="85">
        <v>12.51</v>
      </c>
      <c r="E42" s="82">
        <f t="shared" ref="E42:E43" si="2">D42</f>
        <v>12.51</v>
      </c>
    </row>
    <row r="43" spans="1:5" ht="25.5">
      <c r="A43" s="123" t="s">
        <v>137</v>
      </c>
      <c r="B43" s="95" t="s">
        <v>151</v>
      </c>
      <c r="C43" s="130" t="s">
        <v>234</v>
      </c>
      <c r="D43" s="85">
        <v>8.5</v>
      </c>
      <c r="E43" s="82">
        <f t="shared" si="2"/>
        <v>8.5</v>
      </c>
    </row>
    <row r="44" spans="1:5">
      <c r="A44" s="292" t="s">
        <v>152</v>
      </c>
      <c r="B44" s="230"/>
      <c r="C44" s="230"/>
      <c r="D44" s="293"/>
      <c r="E44" s="121">
        <f>SUM(E39:E43)</f>
        <v>185.86</v>
      </c>
    </row>
    <row r="45" spans="1:5">
      <c r="A45" s="277" t="s">
        <v>153</v>
      </c>
      <c r="B45" s="233"/>
      <c r="C45" s="233"/>
      <c r="D45" s="278"/>
      <c r="E45" s="112"/>
    </row>
    <row r="46" spans="1:5">
      <c r="A46" s="113" t="s">
        <v>125</v>
      </c>
      <c r="B46" s="279" t="s">
        <v>154</v>
      </c>
      <c r="C46" s="280"/>
      <c r="D46" s="281"/>
      <c r="E46" s="114">
        <f>E26</f>
        <v>39.24</v>
      </c>
    </row>
    <row r="47" spans="1:5">
      <c r="A47" s="113" t="s">
        <v>131</v>
      </c>
      <c r="B47" s="91" t="s">
        <v>155</v>
      </c>
      <c r="C47" s="64"/>
      <c r="D47" s="100" t="s">
        <v>120</v>
      </c>
      <c r="E47" s="112">
        <f>E37</f>
        <v>88.73</v>
      </c>
    </row>
    <row r="48" spans="1:5">
      <c r="A48" s="113" t="s">
        <v>145</v>
      </c>
      <c r="B48" s="91" t="s">
        <v>156</v>
      </c>
      <c r="C48" s="64"/>
      <c r="D48" s="100" t="s">
        <v>120</v>
      </c>
      <c r="E48" s="112">
        <f>E44</f>
        <v>185.86</v>
      </c>
    </row>
    <row r="49" spans="1:15">
      <c r="A49" s="292" t="s">
        <v>129</v>
      </c>
      <c r="B49" s="230"/>
      <c r="C49" s="296"/>
      <c r="D49" s="87" t="s">
        <v>120</v>
      </c>
      <c r="E49" s="121">
        <f>SUM(E46:E48)</f>
        <v>313.83</v>
      </c>
    </row>
    <row r="50" spans="1:15">
      <c r="A50" s="277" t="s">
        <v>157</v>
      </c>
      <c r="B50" s="233"/>
      <c r="C50" s="233"/>
      <c r="D50" s="278"/>
      <c r="E50" s="112"/>
    </row>
    <row r="51" spans="1:15">
      <c r="A51" s="113" t="s">
        <v>158</v>
      </c>
      <c r="B51" s="279" t="s">
        <v>159</v>
      </c>
      <c r="C51" s="280"/>
      <c r="D51" s="281"/>
      <c r="E51" s="114" t="s">
        <v>116</v>
      </c>
    </row>
    <row r="52" spans="1:15">
      <c r="A52" s="123" t="s">
        <v>99</v>
      </c>
      <c r="B52" s="91" t="s">
        <v>160</v>
      </c>
      <c r="C52" s="96"/>
      <c r="D52" s="75">
        <v>4.5999999999999999E-3</v>
      </c>
      <c r="E52" s="112">
        <f t="shared" ref="E52:E56" si="3">ROUND(+D52*$E$21,2)</f>
        <v>0.93</v>
      </c>
    </row>
    <row r="53" spans="1:15" ht="25.5">
      <c r="A53" s="123" t="s">
        <v>101</v>
      </c>
      <c r="B53" s="95" t="s">
        <v>161</v>
      </c>
      <c r="C53" s="96"/>
      <c r="D53" s="75">
        <f>D34*D52</f>
        <v>4.0000000000000002E-4</v>
      </c>
      <c r="E53" s="112">
        <f t="shared" si="3"/>
        <v>0.08</v>
      </c>
    </row>
    <row r="54" spans="1:15">
      <c r="A54" s="123" t="s">
        <v>102</v>
      </c>
      <c r="B54" s="131" t="s">
        <v>162</v>
      </c>
      <c r="C54" s="96"/>
      <c r="D54" s="75">
        <v>1.9400000000000001E-2</v>
      </c>
      <c r="E54" s="112">
        <f t="shared" si="3"/>
        <v>3.92</v>
      </c>
    </row>
    <row r="55" spans="1:15" ht="25.5">
      <c r="A55" s="123" t="s">
        <v>104</v>
      </c>
      <c r="B55" s="95" t="s">
        <v>163</v>
      </c>
      <c r="C55" s="96"/>
      <c r="D55" s="75">
        <f>D37*D54</f>
        <v>7.1000000000000004E-3</v>
      </c>
      <c r="E55" s="112">
        <f t="shared" si="3"/>
        <v>1.43</v>
      </c>
    </row>
    <row r="56" spans="1:15" ht="51">
      <c r="A56" s="123" t="s">
        <v>137</v>
      </c>
      <c r="B56" s="95" t="s">
        <v>164</v>
      </c>
      <c r="C56" s="96"/>
      <c r="D56" s="75">
        <f>4%</f>
        <v>0.04</v>
      </c>
      <c r="E56" s="112">
        <f t="shared" si="3"/>
        <v>8.07</v>
      </c>
    </row>
    <row r="57" spans="1:15">
      <c r="A57" s="292" t="s">
        <v>129</v>
      </c>
      <c r="B57" s="230"/>
      <c r="C57" s="230"/>
      <c r="D57" s="88">
        <f>SUM(D52:D56)</f>
        <v>7.1499999999999994E-2</v>
      </c>
      <c r="E57" s="121">
        <f>SUM(E52:E56)</f>
        <v>14.43</v>
      </c>
    </row>
    <row r="58" spans="1:15">
      <c r="A58" s="277" t="s">
        <v>165</v>
      </c>
      <c r="B58" s="233"/>
      <c r="C58" s="233"/>
      <c r="D58" s="278"/>
      <c r="E58" s="112"/>
    </row>
    <row r="59" spans="1:15">
      <c r="A59" s="113" t="s">
        <v>166</v>
      </c>
      <c r="B59" s="302" t="s">
        <v>167</v>
      </c>
      <c r="C59" s="233"/>
      <c r="D59" s="278"/>
      <c r="E59" s="114" t="s">
        <v>116</v>
      </c>
    </row>
    <row r="60" spans="1:15">
      <c r="A60" s="123" t="s">
        <v>99</v>
      </c>
      <c r="B60" s="91" t="s">
        <v>235</v>
      </c>
      <c r="C60" s="64"/>
      <c r="D60" s="75">
        <f>((1+1/3)/12)/12</f>
        <v>9.2999999999999992E-3</v>
      </c>
      <c r="E60" s="112">
        <f>(E21+E49+E57+E78)*D60</f>
        <v>5.76</v>
      </c>
    </row>
    <row r="61" spans="1:15" ht="25.5">
      <c r="A61" s="123" t="s">
        <v>101</v>
      </c>
      <c r="B61" s="91" t="s">
        <v>169</v>
      </c>
      <c r="C61" s="64"/>
      <c r="D61" s="75">
        <v>1.66E-2</v>
      </c>
      <c r="E61" s="112">
        <f>(E21+E49+E57+E78)*D61</f>
        <v>10.29</v>
      </c>
      <c r="F61" s="303" t="s">
        <v>170</v>
      </c>
      <c r="G61" s="304"/>
      <c r="H61" s="304"/>
      <c r="I61" s="304"/>
      <c r="J61" s="304"/>
      <c r="K61" s="304"/>
      <c r="L61" s="304"/>
      <c r="M61" s="304"/>
    </row>
    <row r="62" spans="1:15" ht="25.5">
      <c r="A62" s="123" t="s">
        <v>102</v>
      </c>
      <c r="B62" s="91" t="s">
        <v>171</v>
      </c>
      <c r="C62" s="64"/>
      <c r="D62" s="75">
        <f>(5/30)*(1/12)*6.24%*95.04%</f>
        <v>8.0000000000000004E-4</v>
      </c>
      <c r="E62" s="112">
        <f>(E21+E49+E57+E78)*D62</f>
        <v>0.5</v>
      </c>
      <c r="F62" s="305" t="s">
        <v>172</v>
      </c>
      <c r="G62" s="306"/>
      <c r="H62" s="306"/>
      <c r="I62" s="306"/>
      <c r="J62" s="306"/>
      <c r="K62" s="306"/>
      <c r="L62" s="306"/>
      <c r="M62" s="306"/>
      <c r="N62" s="306"/>
      <c r="O62" s="306"/>
    </row>
    <row r="63" spans="1:15" ht="25.5">
      <c r="A63" s="123" t="s">
        <v>104</v>
      </c>
      <c r="B63" s="91" t="s">
        <v>173</v>
      </c>
      <c r="C63" s="64"/>
      <c r="D63" s="75">
        <f>(1/30)*(1/12)</f>
        <v>2.8E-3</v>
      </c>
      <c r="E63" s="112">
        <f>(E21+E49+E57+E78)*D63</f>
        <v>1.74</v>
      </c>
      <c r="F63" s="307" t="s">
        <v>174</v>
      </c>
      <c r="G63" s="308"/>
      <c r="H63" s="308"/>
      <c r="I63" s="308"/>
      <c r="J63" s="308"/>
      <c r="K63" s="308"/>
      <c r="L63" s="308"/>
      <c r="M63" s="308"/>
      <c r="N63" s="308"/>
      <c r="O63" s="308"/>
    </row>
    <row r="64" spans="1:15" ht="25.5">
      <c r="A64" s="123" t="s">
        <v>137</v>
      </c>
      <c r="B64" s="91" t="s">
        <v>175</v>
      </c>
      <c r="C64" s="64"/>
      <c r="D64" s="75">
        <f>(0.91/30)*(1/12)</f>
        <v>2.5000000000000001E-3</v>
      </c>
      <c r="E64" s="112">
        <f>(E21+E49+E57+E78)*D64</f>
        <v>1.55</v>
      </c>
      <c r="F64" s="307" t="s">
        <v>176</v>
      </c>
      <c r="G64" s="308"/>
      <c r="H64" s="308"/>
      <c r="I64" s="308"/>
      <c r="J64" s="308"/>
      <c r="K64" s="308"/>
      <c r="L64" s="308"/>
      <c r="M64" s="308"/>
      <c r="N64" s="308"/>
      <c r="O64" s="308"/>
    </row>
    <row r="65" spans="1:15" ht="25.5" customHeight="1">
      <c r="A65" s="123" t="s">
        <v>139</v>
      </c>
      <c r="B65" s="309" t="s">
        <v>236</v>
      </c>
      <c r="C65" s="310"/>
      <c r="D65" s="132">
        <f>(7/30)*(1/24)</f>
        <v>9.7000000000000003E-3</v>
      </c>
      <c r="E65" s="112">
        <f>(E21+E49+E57+E78)*D65</f>
        <v>6.01</v>
      </c>
      <c r="F65" s="307" t="s">
        <v>177</v>
      </c>
      <c r="G65" s="308"/>
      <c r="H65" s="308"/>
      <c r="I65" s="308"/>
      <c r="J65" s="308"/>
      <c r="K65" s="308"/>
      <c r="L65" s="308"/>
      <c r="M65" s="308"/>
      <c r="N65" s="308"/>
      <c r="O65" s="308"/>
    </row>
    <row r="66" spans="1:15">
      <c r="A66" s="292" t="s">
        <v>178</v>
      </c>
      <c r="B66" s="230"/>
      <c r="C66" s="293"/>
      <c r="D66" s="88">
        <f>SUM(D60:D65)</f>
        <v>4.1700000000000001E-2</v>
      </c>
      <c r="E66" s="121">
        <f>SUM(E60:E65)</f>
        <v>25.85</v>
      </c>
    </row>
    <row r="67" spans="1:15">
      <c r="A67" s="277"/>
      <c r="B67" s="233"/>
      <c r="C67" s="233"/>
      <c r="D67" s="278"/>
      <c r="E67" s="112"/>
    </row>
    <row r="68" spans="1:15">
      <c r="A68" s="113" t="s">
        <v>120</v>
      </c>
      <c r="B68" s="279" t="s">
        <v>179</v>
      </c>
      <c r="C68" s="280"/>
      <c r="D68" s="281"/>
      <c r="E68" s="114" t="s">
        <v>116</v>
      </c>
    </row>
    <row r="69" spans="1:15">
      <c r="A69" s="123" t="s">
        <v>99</v>
      </c>
      <c r="B69" s="91" t="s">
        <v>237</v>
      </c>
      <c r="C69" s="64"/>
      <c r="D69" s="75"/>
      <c r="E69" s="112">
        <f>0</f>
        <v>0</v>
      </c>
      <c r="G69" s="89"/>
    </row>
    <row r="70" spans="1:15">
      <c r="A70" s="292" t="s">
        <v>129</v>
      </c>
      <c r="B70" s="230"/>
      <c r="C70" s="230"/>
      <c r="D70" s="77"/>
      <c r="E70" s="121">
        <f>E69</f>
        <v>0</v>
      </c>
    </row>
    <row r="71" spans="1:15">
      <c r="A71" s="277" t="s">
        <v>181</v>
      </c>
      <c r="B71" s="233"/>
      <c r="C71" s="233"/>
      <c r="D71" s="278"/>
      <c r="E71" s="112"/>
    </row>
    <row r="72" spans="1:15">
      <c r="A72" s="113">
        <v>4</v>
      </c>
      <c r="B72" s="279" t="s">
        <v>182</v>
      </c>
      <c r="C72" s="280"/>
      <c r="D72" s="281"/>
      <c r="E72" s="114" t="s">
        <v>116</v>
      </c>
    </row>
    <row r="73" spans="1:15">
      <c r="A73" s="123" t="s">
        <v>166</v>
      </c>
      <c r="B73" s="91" t="s">
        <v>167</v>
      </c>
      <c r="C73" s="64"/>
      <c r="D73" s="75">
        <f>D66</f>
        <v>4.1700000000000001E-2</v>
      </c>
      <c r="E73" s="112">
        <f>E66</f>
        <v>25.85</v>
      </c>
    </row>
    <row r="74" spans="1:15">
      <c r="A74" s="123" t="s">
        <v>183</v>
      </c>
      <c r="B74" s="91" t="s">
        <v>179</v>
      </c>
      <c r="C74" s="96"/>
      <c r="D74" s="75"/>
      <c r="E74" s="112">
        <f>E70</f>
        <v>0</v>
      </c>
    </row>
    <row r="75" spans="1:15">
      <c r="A75" s="292" t="s">
        <v>184</v>
      </c>
      <c r="B75" s="230"/>
      <c r="C75" s="293"/>
      <c r="D75" s="88">
        <f>SUM(D70:D74)</f>
        <v>4.1700000000000001E-2</v>
      </c>
      <c r="E75" s="121">
        <f>SUM(E73+E74)</f>
        <v>25.85</v>
      </c>
    </row>
    <row r="76" spans="1:15">
      <c r="A76" s="277" t="s">
        <v>185</v>
      </c>
      <c r="B76" s="233"/>
      <c r="C76" s="233"/>
      <c r="D76" s="278"/>
      <c r="E76" s="112"/>
    </row>
    <row r="77" spans="1:15">
      <c r="A77" s="113">
        <v>5</v>
      </c>
      <c r="B77" s="279" t="s">
        <v>186</v>
      </c>
      <c r="C77" s="280"/>
      <c r="D77" s="281"/>
      <c r="E77" s="114" t="s">
        <v>116</v>
      </c>
    </row>
    <row r="78" spans="1:15">
      <c r="A78" s="123" t="s">
        <v>99</v>
      </c>
      <c r="B78" s="91" t="s">
        <v>187</v>
      </c>
      <c r="C78" s="96" t="s">
        <v>238</v>
      </c>
      <c r="D78" s="75" t="s">
        <v>120</v>
      </c>
      <c r="E78" s="112">
        <f>'Material e uniforme'!H13</f>
        <v>89.62</v>
      </c>
    </row>
    <row r="79" spans="1:15">
      <c r="A79" s="123" t="s">
        <v>101</v>
      </c>
      <c r="B79" s="91" t="s">
        <v>188</v>
      </c>
      <c r="C79" s="64"/>
      <c r="D79" s="75"/>
      <c r="E79" s="112">
        <f>0</f>
        <v>0</v>
      </c>
    </row>
    <row r="80" spans="1:15">
      <c r="A80" s="123" t="s">
        <v>102</v>
      </c>
      <c r="B80" s="91" t="s">
        <v>189</v>
      </c>
      <c r="C80" s="64"/>
      <c r="D80" s="75"/>
      <c r="E80" s="112">
        <v>0</v>
      </c>
    </row>
    <row r="81" spans="1:5">
      <c r="A81" s="123" t="s">
        <v>104</v>
      </c>
      <c r="B81" s="91" t="s">
        <v>239</v>
      </c>
      <c r="C81" s="96" t="s">
        <v>240</v>
      </c>
      <c r="D81" s="75"/>
      <c r="E81" s="112">
        <v>29.92</v>
      </c>
    </row>
    <row r="82" spans="1:5">
      <c r="A82" s="292" t="s">
        <v>191</v>
      </c>
      <c r="B82" s="230"/>
      <c r="C82" s="293"/>
      <c r="D82" s="88" t="s">
        <v>120</v>
      </c>
      <c r="E82" s="121">
        <f>SUM(E78:E81)</f>
        <v>119.54</v>
      </c>
    </row>
    <row r="83" spans="1:5" ht="18" customHeight="1">
      <c r="A83" s="311" t="s">
        <v>241</v>
      </c>
      <c r="B83" s="245"/>
      <c r="C83" s="245"/>
      <c r="D83" s="245"/>
      <c r="E83" s="312"/>
    </row>
    <row r="84" spans="1:5">
      <c r="A84" s="313" t="s">
        <v>208</v>
      </c>
      <c r="B84" s="243"/>
      <c r="C84" s="243"/>
      <c r="D84" s="314"/>
      <c r="E84" s="133" t="s">
        <v>116</v>
      </c>
    </row>
    <row r="85" spans="1:5">
      <c r="A85" s="113" t="s">
        <v>99</v>
      </c>
      <c r="B85" s="279" t="s">
        <v>209</v>
      </c>
      <c r="C85" s="236"/>
      <c r="D85" s="323"/>
      <c r="E85" s="112">
        <f>+E21</f>
        <v>201.85</v>
      </c>
    </row>
    <row r="86" spans="1:5">
      <c r="A86" s="113" t="s">
        <v>101</v>
      </c>
      <c r="B86" s="279" t="s">
        <v>210</v>
      </c>
      <c r="C86" s="236"/>
      <c r="D86" s="323"/>
      <c r="E86" s="112">
        <f>E49</f>
        <v>313.83</v>
      </c>
    </row>
    <row r="87" spans="1:5">
      <c r="A87" s="113" t="s">
        <v>102</v>
      </c>
      <c r="B87" s="279" t="s">
        <v>211</v>
      </c>
      <c r="C87" s="236"/>
      <c r="D87" s="323"/>
      <c r="E87" s="112">
        <f>E57</f>
        <v>14.43</v>
      </c>
    </row>
    <row r="88" spans="1:5">
      <c r="A88" s="113" t="s">
        <v>104</v>
      </c>
      <c r="B88" s="279" t="s">
        <v>212</v>
      </c>
      <c r="C88" s="236"/>
      <c r="D88" s="323"/>
      <c r="E88" s="112">
        <f>E75</f>
        <v>25.85</v>
      </c>
    </row>
    <row r="89" spans="1:5">
      <c r="A89" s="134" t="s">
        <v>137</v>
      </c>
      <c r="B89" s="324" t="s">
        <v>213</v>
      </c>
      <c r="C89" s="325"/>
      <c r="D89" s="326"/>
      <c r="E89" s="135">
        <f>E82</f>
        <v>119.54</v>
      </c>
    </row>
    <row r="90" spans="1:5">
      <c r="A90" s="315" t="s">
        <v>216</v>
      </c>
      <c r="B90" s="316"/>
      <c r="C90" s="316"/>
      <c r="D90" s="317"/>
      <c r="E90" s="136">
        <f>SUM(E85:E89)</f>
        <v>675.5</v>
      </c>
    </row>
    <row r="91" spans="1:5" ht="13.5" hidden="1" customHeight="1">
      <c r="A91" s="329" t="s">
        <v>242</v>
      </c>
      <c r="B91" s="330"/>
      <c r="C91" s="330"/>
      <c r="D91" s="330"/>
      <c r="E91" s="139">
        <f>E90*2</f>
        <v>1351</v>
      </c>
    </row>
    <row r="92" spans="1:5" ht="13.5" hidden="1" customHeight="1">
      <c r="A92" s="331"/>
      <c r="B92" s="332"/>
      <c r="C92" s="332"/>
      <c r="D92" s="332"/>
      <c r="E92" s="333"/>
    </row>
  </sheetData>
  <mergeCells count="64">
    <mergeCell ref="B89:D89"/>
    <mergeCell ref="A90:D90"/>
    <mergeCell ref="A91:D91"/>
    <mergeCell ref="A92:E92"/>
    <mergeCell ref="A84:D84"/>
    <mergeCell ref="B85:D85"/>
    <mergeCell ref="B86:D86"/>
    <mergeCell ref="B87:D87"/>
    <mergeCell ref="B88:D88"/>
    <mergeCell ref="A75:C75"/>
    <mergeCell ref="A76:D76"/>
    <mergeCell ref="B77:D77"/>
    <mergeCell ref="A82:C82"/>
    <mergeCell ref="A83:E83"/>
    <mergeCell ref="A67:D67"/>
    <mergeCell ref="B68:D68"/>
    <mergeCell ref="A70:C70"/>
    <mergeCell ref="A71:D71"/>
    <mergeCell ref="B72:D72"/>
    <mergeCell ref="F63:O63"/>
    <mergeCell ref="F64:O64"/>
    <mergeCell ref="B65:C65"/>
    <mergeCell ref="F65:O65"/>
    <mergeCell ref="A66:C66"/>
    <mergeCell ref="A57:C57"/>
    <mergeCell ref="A58:D58"/>
    <mergeCell ref="B59:D59"/>
    <mergeCell ref="F61:M61"/>
    <mergeCell ref="F62:O62"/>
    <mergeCell ref="A45:D45"/>
    <mergeCell ref="B46:D46"/>
    <mergeCell ref="A49:C49"/>
    <mergeCell ref="A50:D50"/>
    <mergeCell ref="B51:D51"/>
    <mergeCell ref="B38:D38"/>
    <mergeCell ref="B39:D39"/>
    <mergeCell ref="B40:D40"/>
    <mergeCell ref="B41:D41"/>
    <mergeCell ref="A44:D44"/>
    <mergeCell ref="B23:D23"/>
    <mergeCell ref="A26:C26"/>
    <mergeCell ref="A27:E27"/>
    <mergeCell ref="B28:D28"/>
    <mergeCell ref="A37:C37"/>
    <mergeCell ref="B18:D18"/>
    <mergeCell ref="B19:D19"/>
    <mergeCell ref="C20:D20"/>
    <mergeCell ref="A21:D21"/>
    <mergeCell ref="A22:D22"/>
    <mergeCell ref="C12:E12"/>
    <mergeCell ref="C13:E13"/>
    <mergeCell ref="A14:D14"/>
    <mergeCell ref="B15:D15"/>
    <mergeCell ref="C17:D17"/>
    <mergeCell ref="C6:E6"/>
    <mergeCell ref="A7:E7"/>
    <mergeCell ref="A8:E8"/>
    <mergeCell ref="A9:E9"/>
    <mergeCell ref="C10:E10"/>
    <mergeCell ref="A1:E1"/>
    <mergeCell ref="A2:E2"/>
    <mergeCell ref="C3:E3"/>
    <mergeCell ref="C4:E4"/>
    <mergeCell ref="C5:E5"/>
  </mergeCells>
  <hyperlinks>
    <hyperlink ref="B36" r:id="rId1" xr:uid="{00000000-0004-0000-0600-000000000000}"/>
  </hyperlinks>
  <pageMargins left="0.511811024" right="0.511811024" top="0.78740157500000008" bottom="0.78740157500000008" header="0.31496062000000008" footer="0.31496062000000008"/>
  <pageSetup paperSize="9" scale="47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7"/>
  <sheetViews>
    <sheetView showGridLines="0" zoomScale="85" workbookViewId="0">
      <selection activeCell="A37" sqref="A37:G37"/>
    </sheetView>
  </sheetViews>
  <sheetFormatPr defaultColWidth="9.140625" defaultRowHeight="15.75"/>
  <cols>
    <col min="1" max="1" width="8.28515625" style="141" customWidth="1"/>
    <col min="2" max="2" width="33.7109375" style="142" customWidth="1"/>
    <col min="3" max="3" width="11.7109375" style="142" customWidth="1"/>
    <col min="4" max="4" width="12.85546875" style="141" customWidth="1"/>
    <col min="5" max="5" width="8.7109375" style="143" customWidth="1"/>
    <col min="6" max="6" width="12.7109375" style="143" customWidth="1"/>
    <col min="7" max="7" width="10.7109375" style="143" customWidth="1"/>
    <col min="8" max="8" width="18.28515625" style="143" customWidth="1"/>
    <col min="9" max="9" width="23.28515625" style="144" customWidth="1"/>
    <col min="10" max="16384" width="9.140625" style="140"/>
  </cols>
  <sheetData>
    <row r="1" spans="1:9" ht="21">
      <c r="A1" s="334" t="s">
        <v>245</v>
      </c>
      <c r="B1" s="335"/>
      <c r="C1" s="335"/>
      <c r="D1" s="335"/>
      <c r="E1" s="335"/>
      <c r="F1" s="335"/>
      <c r="G1" s="335"/>
      <c r="H1" s="335"/>
      <c r="I1" s="336"/>
    </row>
    <row r="2" spans="1:9">
      <c r="A2" s="337" t="s">
        <v>246</v>
      </c>
      <c r="B2" s="337"/>
      <c r="C2" s="145" t="s">
        <v>247</v>
      </c>
      <c r="D2" s="337" t="s">
        <v>248</v>
      </c>
      <c r="E2" s="337"/>
      <c r="F2" s="338" t="s">
        <v>249</v>
      </c>
      <c r="G2" s="339"/>
      <c r="H2" s="340" t="s">
        <v>250</v>
      </c>
      <c r="I2" s="340"/>
    </row>
    <row r="3" spans="1:9">
      <c r="A3" s="341" t="s">
        <v>251</v>
      </c>
      <c r="B3" s="342"/>
      <c r="C3" s="147">
        <v>2</v>
      </c>
      <c r="D3" s="343">
        <v>167.1</v>
      </c>
      <c r="E3" s="343"/>
      <c r="F3" s="344">
        <f>+D3*C3</f>
        <v>334.2</v>
      </c>
      <c r="G3" s="345"/>
      <c r="H3" s="346">
        <f>+F3/12</f>
        <v>27.85</v>
      </c>
      <c r="I3" s="346"/>
    </row>
    <row r="4" spans="1:9" ht="20.25" customHeight="1">
      <c r="A4" s="341" t="s">
        <v>252</v>
      </c>
      <c r="B4" s="342"/>
      <c r="C4" s="147">
        <v>2</v>
      </c>
      <c r="D4" s="343">
        <v>74</v>
      </c>
      <c r="E4" s="343"/>
      <c r="F4" s="344">
        <f t="shared" ref="F4:F12" si="0">D4*C4</f>
        <v>148</v>
      </c>
      <c r="G4" s="345"/>
      <c r="H4" s="346">
        <f t="shared" ref="H4:H12" si="1">F4/12</f>
        <v>12.33</v>
      </c>
      <c r="I4" s="346"/>
    </row>
    <row r="5" spans="1:9">
      <c r="A5" s="341" t="s">
        <v>253</v>
      </c>
      <c r="B5" s="342"/>
      <c r="C5" s="148">
        <v>1</v>
      </c>
      <c r="D5" s="343">
        <v>78.709999999999994</v>
      </c>
      <c r="E5" s="343"/>
      <c r="F5" s="344">
        <f t="shared" si="0"/>
        <v>78.709999999999994</v>
      </c>
      <c r="G5" s="345"/>
      <c r="H5" s="346">
        <f t="shared" si="1"/>
        <v>6.56</v>
      </c>
      <c r="I5" s="346"/>
    </row>
    <row r="6" spans="1:9">
      <c r="A6" s="341" t="s">
        <v>254</v>
      </c>
      <c r="B6" s="342"/>
      <c r="C6" s="148">
        <v>1</v>
      </c>
      <c r="D6" s="343">
        <v>83.9</v>
      </c>
      <c r="E6" s="343"/>
      <c r="F6" s="344">
        <f t="shared" si="0"/>
        <v>83.9</v>
      </c>
      <c r="G6" s="345"/>
      <c r="H6" s="346">
        <f t="shared" si="1"/>
        <v>6.99</v>
      </c>
      <c r="I6" s="346"/>
    </row>
    <row r="7" spans="1:9">
      <c r="A7" s="341" t="s">
        <v>255</v>
      </c>
      <c r="B7" s="342"/>
      <c r="C7" s="148">
        <v>1</v>
      </c>
      <c r="D7" s="343">
        <v>35</v>
      </c>
      <c r="E7" s="343"/>
      <c r="F7" s="344">
        <f t="shared" si="0"/>
        <v>35</v>
      </c>
      <c r="G7" s="345"/>
      <c r="H7" s="346">
        <f t="shared" si="1"/>
        <v>2.92</v>
      </c>
      <c r="I7" s="346"/>
    </row>
    <row r="8" spans="1:9" ht="18" customHeight="1">
      <c r="A8" s="341" t="s">
        <v>256</v>
      </c>
      <c r="B8" s="342"/>
      <c r="C8" s="148">
        <v>2</v>
      </c>
      <c r="D8" s="343">
        <v>28.8</v>
      </c>
      <c r="E8" s="343"/>
      <c r="F8" s="344">
        <f t="shared" si="0"/>
        <v>57.6</v>
      </c>
      <c r="G8" s="345"/>
      <c r="H8" s="346">
        <f t="shared" si="1"/>
        <v>4.8</v>
      </c>
      <c r="I8" s="346"/>
    </row>
    <row r="9" spans="1:9" ht="18" customHeight="1">
      <c r="A9" s="341" t="s">
        <v>257</v>
      </c>
      <c r="B9" s="342"/>
      <c r="C9" s="148">
        <v>1</v>
      </c>
      <c r="D9" s="343">
        <v>263.8</v>
      </c>
      <c r="E9" s="343"/>
      <c r="F9" s="344">
        <f t="shared" si="0"/>
        <v>263.8</v>
      </c>
      <c r="G9" s="345"/>
      <c r="H9" s="346">
        <f t="shared" si="1"/>
        <v>21.98</v>
      </c>
      <c r="I9" s="346"/>
    </row>
    <row r="10" spans="1:9">
      <c r="A10" s="341" t="s">
        <v>258</v>
      </c>
      <c r="B10" s="342"/>
      <c r="C10" s="148">
        <v>1</v>
      </c>
      <c r="D10" s="343">
        <v>56.24</v>
      </c>
      <c r="E10" s="343"/>
      <c r="F10" s="344">
        <f t="shared" si="0"/>
        <v>56.24</v>
      </c>
      <c r="G10" s="345"/>
      <c r="H10" s="346">
        <f t="shared" si="1"/>
        <v>4.6900000000000004</v>
      </c>
      <c r="I10" s="346"/>
    </row>
    <row r="11" spans="1:9">
      <c r="A11" s="341" t="s">
        <v>259</v>
      </c>
      <c r="B11" s="342"/>
      <c r="C11" s="148">
        <v>1</v>
      </c>
      <c r="D11" s="343">
        <v>3</v>
      </c>
      <c r="E11" s="343"/>
      <c r="F11" s="344">
        <f t="shared" si="0"/>
        <v>3</v>
      </c>
      <c r="G11" s="345"/>
      <c r="H11" s="346">
        <f t="shared" si="1"/>
        <v>0.25</v>
      </c>
      <c r="I11" s="346"/>
    </row>
    <row r="12" spans="1:9" ht="20.25" customHeight="1">
      <c r="A12" s="341" t="s">
        <v>260</v>
      </c>
      <c r="B12" s="342"/>
      <c r="C12" s="148">
        <v>1</v>
      </c>
      <c r="D12" s="343">
        <v>15</v>
      </c>
      <c r="E12" s="343"/>
      <c r="F12" s="344">
        <f t="shared" si="0"/>
        <v>15</v>
      </c>
      <c r="G12" s="345"/>
      <c r="H12" s="346">
        <f t="shared" si="1"/>
        <v>1.25</v>
      </c>
      <c r="I12" s="346"/>
    </row>
    <row r="13" spans="1:9">
      <c r="A13" s="347" t="s">
        <v>129</v>
      </c>
      <c r="B13" s="348"/>
      <c r="C13" s="348"/>
      <c r="D13" s="348"/>
      <c r="E13" s="348"/>
      <c r="F13" s="348"/>
      <c r="G13" s="349"/>
      <c r="H13" s="350">
        <f>SUM(H3:I12)</f>
        <v>89.62</v>
      </c>
      <c r="I13" s="351"/>
    </row>
    <row r="14" spans="1:9">
      <c r="A14" s="149"/>
      <c r="B14" s="149"/>
      <c r="C14" s="149"/>
      <c r="D14" s="149"/>
      <c r="E14" s="149"/>
      <c r="F14" s="149"/>
      <c r="G14" s="149"/>
      <c r="H14" s="150"/>
      <c r="I14" s="150"/>
    </row>
    <row r="15" spans="1:9">
      <c r="A15" s="149"/>
      <c r="B15" s="149"/>
      <c r="C15" s="149"/>
      <c r="D15" s="149"/>
      <c r="E15" s="149"/>
      <c r="F15" s="149"/>
      <c r="G15" s="149"/>
      <c r="H15" s="150"/>
      <c r="I15" s="150"/>
    </row>
    <row r="16" spans="1:9">
      <c r="A16" s="149"/>
      <c r="B16" s="149"/>
      <c r="C16" s="149"/>
      <c r="D16" s="149"/>
      <c r="E16" s="149"/>
      <c r="F16" s="149"/>
      <c r="G16" s="149"/>
      <c r="H16" s="150"/>
      <c r="I16" s="150"/>
    </row>
    <row r="17" spans="1:9">
      <c r="A17" s="352" t="s">
        <v>261</v>
      </c>
      <c r="B17" s="352"/>
      <c r="C17" s="352"/>
      <c r="D17" s="352"/>
      <c r="E17" s="352"/>
      <c r="F17" s="352"/>
      <c r="G17" s="352"/>
      <c r="H17" s="352"/>
      <c r="I17" s="352"/>
    </row>
    <row r="18" spans="1:9" ht="30.75" customHeight="1">
      <c r="A18" s="347" t="s">
        <v>246</v>
      </c>
      <c r="B18" s="349"/>
      <c r="C18" s="145" t="s">
        <v>247</v>
      </c>
      <c r="D18" s="347" t="s">
        <v>248</v>
      </c>
      <c r="E18" s="349"/>
      <c r="F18" s="353" t="s">
        <v>262</v>
      </c>
      <c r="G18" s="354"/>
      <c r="H18" s="146" t="s">
        <v>263</v>
      </c>
      <c r="I18" s="146" t="s">
        <v>250</v>
      </c>
    </row>
    <row r="19" spans="1:9" ht="15.75" customHeight="1">
      <c r="A19" s="341" t="s">
        <v>264</v>
      </c>
      <c r="B19" s="342"/>
      <c r="C19" s="147">
        <v>1</v>
      </c>
      <c r="D19" s="355">
        <v>22.4</v>
      </c>
      <c r="E19" s="356"/>
      <c r="F19" s="344">
        <f>+D19*C19</f>
        <v>22.4</v>
      </c>
      <c r="G19" s="345"/>
      <c r="H19" s="151">
        <v>6</v>
      </c>
      <c r="I19" s="152">
        <f t="shared" ref="I19:I36" si="2">F19/H19</f>
        <v>3.73</v>
      </c>
    </row>
    <row r="20" spans="1:9" ht="15.75" customHeight="1">
      <c r="A20" s="357" t="s">
        <v>265</v>
      </c>
      <c r="B20" s="358"/>
      <c r="C20" s="162">
        <v>1</v>
      </c>
      <c r="D20" s="359">
        <v>11.5</v>
      </c>
      <c r="E20" s="360"/>
      <c r="F20" s="361">
        <f t="shared" ref="F20:F36" si="3">D20*C20</f>
        <v>11.5</v>
      </c>
      <c r="G20" s="362"/>
      <c r="H20" s="163">
        <v>30</v>
      </c>
      <c r="I20" s="164">
        <f t="shared" si="2"/>
        <v>0.38</v>
      </c>
    </row>
    <row r="21" spans="1:9" ht="15.75" customHeight="1">
      <c r="A21" s="357" t="s">
        <v>266</v>
      </c>
      <c r="B21" s="358"/>
      <c r="C21" s="162">
        <v>1</v>
      </c>
      <c r="D21" s="363">
        <v>7.48</v>
      </c>
      <c r="E21" s="364"/>
      <c r="F21" s="361">
        <f t="shared" si="3"/>
        <v>7.48</v>
      </c>
      <c r="G21" s="362"/>
      <c r="H21" s="163">
        <v>30</v>
      </c>
      <c r="I21" s="164">
        <f t="shared" si="2"/>
        <v>0.25</v>
      </c>
    </row>
    <row r="22" spans="1:9" ht="15.75" customHeight="1">
      <c r="A22" s="357" t="s">
        <v>280</v>
      </c>
      <c r="B22" s="358"/>
      <c r="C22" s="162">
        <v>6</v>
      </c>
      <c r="D22" s="363">
        <v>10.9</v>
      </c>
      <c r="E22" s="364"/>
      <c r="F22" s="361">
        <v>101.58</v>
      </c>
      <c r="G22" s="362"/>
      <c r="H22" s="163">
        <v>24</v>
      </c>
      <c r="I22" s="164">
        <f>F22/H22</f>
        <v>4.2300000000000004</v>
      </c>
    </row>
    <row r="23" spans="1:9">
      <c r="A23" s="357" t="s">
        <v>267</v>
      </c>
      <c r="B23" s="358"/>
      <c r="C23" s="162">
        <v>1</v>
      </c>
      <c r="D23" s="365">
        <v>41.43</v>
      </c>
      <c r="E23" s="365"/>
      <c r="F23" s="361">
        <f t="shared" si="3"/>
        <v>41.43</v>
      </c>
      <c r="G23" s="362"/>
      <c r="H23" s="163">
        <v>36</v>
      </c>
      <c r="I23" s="164">
        <f>F23/H23</f>
        <v>1.1499999999999999</v>
      </c>
    </row>
    <row r="24" spans="1:9">
      <c r="A24" s="347" t="s">
        <v>129</v>
      </c>
      <c r="B24" s="348"/>
      <c r="C24" s="348"/>
      <c r="D24" s="348"/>
      <c r="E24" s="348"/>
      <c r="F24" s="348"/>
      <c r="G24" s="349"/>
      <c r="H24" s="366">
        <f>SUM(I19:I23)</f>
        <v>9.74</v>
      </c>
      <c r="I24" s="366"/>
    </row>
    <row r="26" spans="1:9">
      <c r="A26" s="367" t="s">
        <v>268</v>
      </c>
      <c r="B26" s="367"/>
      <c r="C26" s="367"/>
      <c r="D26" s="367"/>
      <c r="E26" s="367"/>
      <c r="F26" s="367"/>
      <c r="G26" s="367"/>
      <c r="H26" s="367"/>
      <c r="I26" s="367"/>
    </row>
    <row r="27" spans="1:9" ht="30.75" customHeight="1">
      <c r="A27" s="337" t="s">
        <v>246</v>
      </c>
      <c r="B27" s="337"/>
      <c r="C27" s="145" t="s">
        <v>247</v>
      </c>
      <c r="D27" s="337" t="s">
        <v>248</v>
      </c>
      <c r="E27" s="337"/>
      <c r="F27" s="338" t="s">
        <v>269</v>
      </c>
      <c r="G27" s="339"/>
      <c r="H27" s="146" t="s">
        <v>263</v>
      </c>
      <c r="I27" s="146" t="s">
        <v>250</v>
      </c>
    </row>
    <row r="28" spans="1:9">
      <c r="A28" s="341" t="s">
        <v>270</v>
      </c>
      <c r="B28" s="342"/>
      <c r="C28" s="147">
        <v>1</v>
      </c>
      <c r="D28" s="343">
        <v>43.55</v>
      </c>
      <c r="E28" s="343"/>
      <c r="F28" s="344">
        <f t="shared" si="3"/>
        <v>43.55</v>
      </c>
      <c r="G28" s="345"/>
      <c r="H28" s="151">
        <v>30</v>
      </c>
      <c r="I28" s="152">
        <f t="shared" si="2"/>
        <v>1.45</v>
      </c>
    </row>
    <row r="29" spans="1:9">
      <c r="A29" s="341" t="s">
        <v>271</v>
      </c>
      <c r="B29" s="342"/>
      <c r="C29" s="153">
        <v>1</v>
      </c>
      <c r="D29" s="343">
        <v>43.55</v>
      </c>
      <c r="E29" s="343"/>
      <c r="F29" s="344">
        <f t="shared" si="3"/>
        <v>43.55</v>
      </c>
      <c r="G29" s="345"/>
      <c r="H29" s="151">
        <v>30</v>
      </c>
      <c r="I29" s="152">
        <f t="shared" si="2"/>
        <v>1.45</v>
      </c>
    </row>
    <row r="30" spans="1:9" ht="48.75" customHeight="1">
      <c r="A30" s="368" t="s">
        <v>281</v>
      </c>
      <c r="B30" s="369"/>
      <c r="C30" s="153">
        <v>1</v>
      </c>
      <c r="D30" s="370">
        <v>440</v>
      </c>
      <c r="E30" s="371"/>
      <c r="F30" s="344">
        <f t="shared" si="3"/>
        <v>440</v>
      </c>
      <c r="G30" s="345"/>
      <c r="H30" s="151">
        <v>30</v>
      </c>
      <c r="I30" s="152">
        <f t="shared" si="2"/>
        <v>14.67</v>
      </c>
    </row>
    <row r="31" spans="1:9">
      <c r="A31" s="341" t="s">
        <v>272</v>
      </c>
      <c r="B31" s="342"/>
      <c r="C31" s="153">
        <v>1</v>
      </c>
      <c r="D31" s="370">
        <v>5162.28</v>
      </c>
      <c r="E31" s="371"/>
      <c r="F31" s="344">
        <f t="shared" si="3"/>
        <v>5162.28</v>
      </c>
      <c r="G31" s="345"/>
      <c r="H31" s="151">
        <v>120</v>
      </c>
      <c r="I31" s="152">
        <f t="shared" si="2"/>
        <v>43.02</v>
      </c>
    </row>
    <row r="32" spans="1:9">
      <c r="A32" s="341" t="s">
        <v>273</v>
      </c>
      <c r="B32" s="342"/>
      <c r="C32" s="153">
        <v>1</v>
      </c>
      <c r="D32" s="370">
        <v>69.599999999999994</v>
      </c>
      <c r="E32" s="371"/>
      <c r="F32" s="344">
        <f t="shared" si="3"/>
        <v>69.599999999999994</v>
      </c>
      <c r="G32" s="345"/>
      <c r="H32" s="151">
        <v>30</v>
      </c>
      <c r="I32" s="152">
        <f t="shared" si="2"/>
        <v>2.3199999999999998</v>
      </c>
    </row>
    <row r="33" spans="1:9">
      <c r="A33" s="341" t="s">
        <v>274</v>
      </c>
      <c r="B33" s="342"/>
      <c r="C33" s="153">
        <v>1</v>
      </c>
      <c r="D33" s="370">
        <v>143.35</v>
      </c>
      <c r="E33" s="371"/>
      <c r="F33" s="344">
        <f t="shared" si="3"/>
        <v>143.35</v>
      </c>
      <c r="G33" s="345"/>
      <c r="H33" s="151">
        <v>30</v>
      </c>
      <c r="I33" s="152">
        <f t="shared" si="2"/>
        <v>4.78</v>
      </c>
    </row>
    <row r="34" spans="1:9">
      <c r="A34" s="341" t="s">
        <v>275</v>
      </c>
      <c r="B34" s="342"/>
      <c r="C34" s="153">
        <v>1</v>
      </c>
      <c r="D34" s="370">
        <v>11.24</v>
      </c>
      <c r="E34" s="371"/>
      <c r="F34" s="344">
        <f t="shared" si="3"/>
        <v>11.24</v>
      </c>
      <c r="G34" s="345"/>
      <c r="H34" s="151">
        <v>1</v>
      </c>
      <c r="I34" s="152">
        <f t="shared" si="2"/>
        <v>11.24</v>
      </c>
    </row>
    <row r="35" spans="1:9">
      <c r="A35" s="341" t="s">
        <v>276</v>
      </c>
      <c r="B35" s="342"/>
      <c r="C35" s="153">
        <v>1</v>
      </c>
      <c r="D35" s="370">
        <v>865.5</v>
      </c>
      <c r="E35" s="371"/>
      <c r="F35" s="344">
        <f t="shared" si="3"/>
        <v>865.5</v>
      </c>
      <c r="G35" s="345"/>
      <c r="H35" s="151">
        <v>60</v>
      </c>
      <c r="I35" s="152">
        <f t="shared" si="2"/>
        <v>14.43</v>
      </c>
    </row>
    <row r="36" spans="1:9">
      <c r="A36" s="357" t="s">
        <v>277</v>
      </c>
      <c r="B36" s="358"/>
      <c r="C36" s="153">
        <v>1</v>
      </c>
      <c r="D36" s="363">
        <v>259.62</v>
      </c>
      <c r="E36" s="364"/>
      <c r="F36" s="361">
        <f t="shared" si="3"/>
        <v>259.62</v>
      </c>
      <c r="G36" s="362"/>
      <c r="H36" s="151">
        <v>60</v>
      </c>
      <c r="I36" s="152">
        <f t="shared" si="2"/>
        <v>4.33</v>
      </c>
    </row>
    <row r="37" spans="1:9">
      <c r="A37" s="347" t="s">
        <v>129</v>
      </c>
      <c r="B37" s="348"/>
      <c r="C37" s="348"/>
      <c r="D37" s="348"/>
      <c r="E37" s="348"/>
      <c r="F37" s="348"/>
      <c r="G37" s="349"/>
      <c r="H37" s="350">
        <f>SUM(I28:I36)</f>
        <v>97.69</v>
      </c>
      <c r="I37" s="351"/>
    </row>
  </sheetData>
  <mergeCells count="101">
    <mergeCell ref="A37:G37"/>
    <mergeCell ref="H37:I37"/>
    <mergeCell ref="A35:B35"/>
    <mergeCell ref="D35:E35"/>
    <mergeCell ref="F35:G35"/>
    <mergeCell ref="A36:B36"/>
    <mergeCell ref="D36:E36"/>
    <mergeCell ref="F36:G36"/>
    <mergeCell ref="A32:B32"/>
    <mergeCell ref="D32:E32"/>
    <mergeCell ref="F32:G32"/>
    <mergeCell ref="A33:B33"/>
    <mergeCell ref="D33:E33"/>
    <mergeCell ref="F33:G33"/>
    <mergeCell ref="A34:B34"/>
    <mergeCell ref="D34:E34"/>
    <mergeCell ref="F34:G34"/>
    <mergeCell ref="A29:B29"/>
    <mergeCell ref="D29:E29"/>
    <mergeCell ref="F29:G29"/>
    <mergeCell ref="A30:B30"/>
    <mergeCell ref="D30:E30"/>
    <mergeCell ref="F30:G30"/>
    <mergeCell ref="A31:B31"/>
    <mergeCell ref="D31:E31"/>
    <mergeCell ref="F31:G31"/>
    <mergeCell ref="A24:G24"/>
    <mergeCell ref="H24:I24"/>
    <mergeCell ref="A26:I26"/>
    <mergeCell ref="A27:B27"/>
    <mergeCell ref="D27:E27"/>
    <mergeCell ref="F27:G27"/>
    <mergeCell ref="A28:B28"/>
    <mergeCell ref="D28:E28"/>
    <mergeCell ref="F28:G28"/>
    <mergeCell ref="A20:B20"/>
    <mergeCell ref="D20:E20"/>
    <mergeCell ref="F20:G20"/>
    <mergeCell ref="A21:B21"/>
    <mergeCell ref="D21:E21"/>
    <mergeCell ref="F21:G21"/>
    <mergeCell ref="A23:B23"/>
    <mergeCell ref="D23:E23"/>
    <mergeCell ref="F23:G23"/>
    <mergeCell ref="A22:B22"/>
    <mergeCell ref="D22:E22"/>
    <mergeCell ref="F22:G22"/>
    <mergeCell ref="A13:G13"/>
    <mergeCell ref="H13:I13"/>
    <mergeCell ref="A17:I17"/>
    <mergeCell ref="A18:B18"/>
    <mergeCell ref="D18:E18"/>
    <mergeCell ref="F18:G18"/>
    <mergeCell ref="A19:B19"/>
    <mergeCell ref="D19:E19"/>
    <mergeCell ref="F19:G19"/>
    <mergeCell ref="A10:B10"/>
    <mergeCell ref="D10:E10"/>
    <mergeCell ref="F10:G10"/>
    <mergeCell ref="H10:I10"/>
    <mergeCell ref="A11:B11"/>
    <mergeCell ref="D11:E11"/>
    <mergeCell ref="F11:G11"/>
    <mergeCell ref="H11:I11"/>
    <mergeCell ref="A12:B12"/>
    <mergeCell ref="D12:E12"/>
    <mergeCell ref="F12:G12"/>
    <mergeCell ref="H12:I12"/>
    <mergeCell ref="A7:B7"/>
    <mergeCell ref="D7:E7"/>
    <mergeCell ref="F7:G7"/>
    <mergeCell ref="H7:I7"/>
    <mergeCell ref="A8:B8"/>
    <mergeCell ref="D8:E8"/>
    <mergeCell ref="F8:G8"/>
    <mergeCell ref="H8:I8"/>
    <mergeCell ref="A9:B9"/>
    <mergeCell ref="D9:E9"/>
    <mergeCell ref="F9:G9"/>
    <mergeCell ref="H9:I9"/>
    <mergeCell ref="A4:B4"/>
    <mergeCell ref="D4:E4"/>
    <mergeCell ref="F4:G4"/>
    <mergeCell ref="H4:I4"/>
    <mergeCell ref="A5:B5"/>
    <mergeCell ref="D5:E5"/>
    <mergeCell ref="F5:G5"/>
    <mergeCell ref="H5:I5"/>
    <mergeCell ref="A6:B6"/>
    <mergeCell ref="D6:E6"/>
    <mergeCell ref="F6:G6"/>
    <mergeCell ref="H6:I6"/>
    <mergeCell ref="A1:I1"/>
    <mergeCell ref="A2:B2"/>
    <mergeCell ref="D2:E2"/>
    <mergeCell ref="F2:G2"/>
    <mergeCell ref="H2:I2"/>
    <mergeCell ref="A3:B3"/>
    <mergeCell ref="D3:E3"/>
    <mergeCell ref="F3:G3"/>
    <mergeCell ref="H3:I3"/>
  </mergeCells>
  <pageMargins left="0.51181102362204722" right="0.51181102362204722" top="1.1811023622047248" bottom="1.5748031496062991" header="0.31496062992125984" footer="0.31496062992125984"/>
  <pageSetup paperSize="9" scale="55" orientation="portrait" horizontalDpi="2147483648" verticalDpi="21474836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Plan2</vt:lpstr>
      <vt:lpstr>Plan3</vt:lpstr>
      <vt:lpstr>resumo</vt:lpstr>
      <vt:lpstr>Vigilante diurno (ARM.)</vt:lpstr>
      <vt:lpstr>Vigilante noturno (ARM.) (2)</vt:lpstr>
      <vt:lpstr>Horista Diurno </vt:lpstr>
      <vt:lpstr>Horista Noturno </vt:lpstr>
      <vt:lpstr>Material e uniforme</vt:lpstr>
      <vt:lpstr>'Horista Diurno '!Area_de_impressao</vt:lpstr>
      <vt:lpstr>'Horista Noturno '!Area_de_impressao</vt:lpstr>
      <vt:lpstr>'Material e uniforme'!Area_de_impressao</vt:lpstr>
      <vt:lpstr>resumo!Area_de_impressao</vt:lpstr>
      <vt:lpstr>'Vigilante diurno (ARM.)'!Area_de_impressao</vt:lpstr>
      <vt:lpstr>'Vigilante noturno (ARM.) (2)'!Area_de_impressao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gabryel</dc:creator>
  <cp:lastModifiedBy>Izadora Jemima Vieira Andrade</cp:lastModifiedBy>
  <cp:revision>1</cp:revision>
  <cp:lastPrinted>2025-07-28T13:11:33Z</cp:lastPrinted>
  <dcterms:created xsi:type="dcterms:W3CDTF">2014-04-11T01:53:38Z</dcterms:created>
  <dcterms:modified xsi:type="dcterms:W3CDTF">2025-08-19T15:55:08Z</dcterms:modified>
</cp:coreProperties>
</file>